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a\Documents\FINANCIJSKI PLANOVI\FINANCIJSKI PLAN 2019\"/>
    </mc:Choice>
  </mc:AlternateContent>
  <bookViews>
    <workbookView xWindow="0" yWindow="0" windowWidth="28800" windowHeight="12435" firstSheet="4" activeTab="4"/>
  </bookViews>
  <sheets>
    <sheet name="Rashodi - Investicije" sheetId="1" state="hidden" r:id="rId1"/>
    <sheet name="Prihodi" sheetId="2" state="hidden" r:id="rId2"/>
    <sheet name="Rashodi po kontima" sheetId="3" state="hidden" r:id="rId3"/>
    <sheet name="Kreditna zaduženost" sheetId="5" state="hidden" r:id="rId4"/>
    <sheet name="FP 2019" sheetId="8" r:id="rId5"/>
  </sheets>
  <definedNames>
    <definedName name="_xlnm.Print_Area" localSheetId="4">'FP 2019'!$A$5:$D$70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8" l="1"/>
  <c r="C60" i="8" l="1"/>
  <c r="C52" i="8"/>
  <c r="C38" i="8"/>
  <c r="C56" i="8" l="1"/>
  <c r="C19" i="8" l="1"/>
  <c r="C15" i="8" l="1"/>
  <c r="C50" i="8"/>
  <c r="C63" i="8"/>
  <c r="C23" i="8"/>
  <c r="C69" i="8" l="1"/>
  <c r="C27" i="8"/>
  <c r="C70" i="8" l="1"/>
  <c r="F71" i="2" l="1"/>
  <c r="C75" i="3"/>
  <c r="C82" i="3"/>
  <c r="C81" i="3"/>
  <c r="C80" i="3"/>
  <c r="C79" i="3"/>
  <c r="C78" i="3"/>
  <c r="C76" i="3"/>
  <c r="D51" i="3"/>
  <c r="E10" i="5"/>
  <c r="E9" i="5"/>
  <c r="E8" i="5"/>
  <c r="D10" i="5"/>
  <c r="D9" i="5"/>
  <c r="D8" i="5"/>
  <c r="O32" i="2"/>
  <c r="C10" i="5"/>
  <c r="A10" i="5"/>
  <c r="C9" i="5"/>
  <c r="C8" i="5"/>
  <c r="O31" i="2"/>
  <c r="A7" i="5"/>
  <c r="A8" i="5" s="1"/>
  <c r="A9" i="5" s="1"/>
  <c r="A6" i="5"/>
  <c r="C32" i="3" l="1"/>
  <c r="D69" i="3" l="1"/>
  <c r="C50" i="3"/>
  <c r="F24" i="2"/>
  <c r="D36" i="2" l="1"/>
  <c r="E31" i="2"/>
  <c r="C35" i="2"/>
  <c r="C34" i="2"/>
  <c r="C33" i="2"/>
  <c r="B36" i="2"/>
  <c r="D31" i="2"/>
  <c r="D45" i="2"/>
  <c r="B45" i="2"/>
  <c r="C44" i="2"/>
  <c r="C45" i="2" s="1"/>
  <c r="C48" i="2"/>
  <c r="C43" i="2"/>
  <c r="C42" i="2"/>
  <c r="I31" i="2"/>
  <c r="H41" i="2"/>
  <c r="E41" i="2"/>
  <c r="D41" i="2"/>
  <c r="H31" i="2"/>
  <c r="I29" i="2"/>
  <c r="I30" i="2"/>
  <c r="B71" i="2"/>
  <c r="D70" i="2"/>
  <c r="D71" i="2" s="1"/>
  <c r="G71" i="2" s="1"/>
  <c r="G73" i="2" s="1"/>
  <c r="D66" i="2"/>
  <c r="F67" i="2"/>
  <c r="D67" i="2"/>
  <c r="F69" i="2"/>
  <c r="D69" i="2"/>
  <c r="D68" i="2"/>
  <c r="G60" i="2"/>
  <c r="D60" i="2"/>
  <c r="F60" i="2"/>
  <c r="B60" i="2"/>
  <c r="F59" i="2"/>
  <c r="D59" i="2"/>
  <c r="F58" i="2"/>
  <c r="D58" i="2"/>
  <c r="F57" i="2"/>
  <c r="D57" i="2"/>
  <c r="I53" i="2"/>
  <c r="H45" i="2" l="1"/>
  <c r="C47" i="2"/>
  <c r="C36" i="2"/>
  <c r="H36" i="2" s="1"/>
  <c r="M36" i="2" s="1"/>
  <c r="D55" i="2" l="1"/>
  <c r="C64" i="3"/>
  <c r="D59" i="3" s="1"/>
  <c r="D45" i="3"/>
  <c r="D48" i="3"/>
  <c r="D38" i="3"/>
  <c r="D16" i="3"/>
  <c r="D23" i="3"/>
  <c r="D35" i="3"/>
  <c r="D41" i="3"/>
  <c r="D40" i="3"/>
  <c r="C39" i="3"/>
  <c r="C20" i="3"/>
  <c r="D9" i="3"/>
  <c r="C30" i="3"/>
  <c r="D27" i="3" s="1"/>
  <c r="E42" i="2" l="1"/>
  <c r="D42" i="2"/>
  <c r="D44" i="2" l="1"/>
  <c r="G51" i="2" l="1"/>
  <c r="E10" i="1"/>
  <c r="G7" i="1"/>
  <c r="F7" i="1"/>
  <c r="D14" i="2"/>
  <c r="C14" i="2"/>
  <c r="D13" i="2"/>
  <c r="C13" i="2"/>
  <c r="D12" i="2"/>
  <c r="D9" i="2"/>
  <c r="D5" i="2"/>
  <c r="D11" i="2"/>
  <c r="C11" i="2"/>
  <c r="D10" i="2"/>
  <c r="D7" i="2"/>
  <c r="C10" i="2"/>
  <c r="D6" i="2"/>
  <c r="D8" i="2"/>
  <c r="D19" i="2" l="1"/>
  <c r="C7" i="2"/>
  <c r="G10" i="1" l="1"/>
  <c r="F10" i="1"/>
  <c r="F9" i="1"/>
  <c r="G9" i="1"/>
  <c r="G5" i="1"/>
  <c r="F5" i="1"/>
  <c r="E9" i="1"/>
  <c r="E5" i="1"/>
</calcChain>
</file>

<file path=xl/sharedStrings.xml><?xml version="1.0" encoding="utf-8"?>
<sst xmlns="http://schemas.openxmlformats.org/spreadsheetml/2006/main" count="186" uniqueCount="160">
  <si>
    <t>LOT II/III a</t>
  </si>
  <si>
    <t>HRK</t>
  </si>
  <si>
    <t>Planirana neto realizacija - do kraja ugovora EUR</t>
  </si>
  <si>
    <t>tečaj</t>
  </si>
  <si>
    <t>TA</t>
  </si>
  <si>
    <t>CS</t>
  </si>
  <si>
    <t>Preprojektiranje</t>
  </si>
  <si>
    <t>s PDV-om</t>
  </si>
  <si>
    <t>PDV</t>
  </si>
  <si>
    <t>Jedinstvo</t>
  </si>
  <si>
    <t>SBERBANK</t>
  </si>
  <si>
    <t>Kamate na oročena sredstva</t>
  </si>
  <si>
    <t>OTP vlastita sredstva HRK</t>
  </si>
  <si>
    <t>OTP vlastita sredstva EUR</t>
  </si>
  <si>
    <t>depozit</t>
  </si>
  <si>
    <t xml:space="preserve">OTP sredstva kredita EUR </t>
  </si>
  <si>
    <t>TERETI</t>
  </si>
  <si>
    <t>kruti tereti</t>
  </si>
  <si>
    <t>tekući tereti</t>
  </si>
  <si>
    <t>NEGATIVNE TEČAJNE RAZLIKE</t>
  </si>
  <si>
    <t>SALDO EIB ZAJMA 31.12.2014.</t>
  </si>
  <si>
    <t>TEČAJ 31.12.2014.</t>
  </si>
  <si>
    <t>TEČAJ 30.6.2015.</t>
  </si>
  <si>
    <t>TEČAJ 31.12.2015.</t>
  </si>
  <si>
    <t xml:space="preserve">OTPLATA </t>
  </si>
  <si>
    <t>SALDO KfW ZAJMA 31.12.2014.</t>
  </si>
  <si>
    <t>RAZLIKA</t>
  </si>
  <si>
    <t>Naknade ostalim osobama izvan radnog odnosa</t>
  </si>
  <si>
    <t>Usluge telefona, pošte, prijevoza</t>
  </si>
  <si>
    <t>usl. pošte</t>
  </si>
  <si>
    <t>usl. prijevoza</t>
  </si>
  <si>
    <t>usl. telefona</t>
  </si>
  <si>
    <t>Usluge promidžbe i informiranja</t>
  </si>
  <si>
    <t>Internet</t>
  </si>
  <si>
    <t xml:space="preserve">Usluge tekućeg i investicijskog održavanja </t>
  </si>
  <si>
    <t>Tr.pranja služb. automobila</t>
  </si>
  <si>
    <t>kom. i prijevoz</t>
  </si>
  <si>
    <t>Tr. auto servisa</t>
  </si>
  <si>
    <t>Tr. inv. održavanja - Gaženica</t>
  </si>
  <si>
    <t>Tr. održavanja pom. signalizacije</t>
  </si>
  <si>
    <t>Tr. održavanja programa</t>
  </si>
  <si>
    <t>Tr. usluge tegljača</t>
  </si>
  <si>
    <t>Tr. održavanja putn. luka</t>
  </si>
  <si>
    <t>usluge objave javnog nadmetanja</t>
  </si>
  <si>
    <t>Izložbeni prostor na sajmu</t>
  </si>
  <si>
    <t>Promidžbeni materijal</t>
  </si>
  <si>
    <t>Komunalne usluge</t>
  </si>
  <si>
    <t>trošak parkinga</t>
  </si>
  <si>
    <t>trošak cestarine</t>
  </si>
  <si>
    <t>opskrba vodom</t>
  </si>
  <si>
    <t>usluge čišćenja, pranja i sl.</t>
  </si>
  <si>
    <t>usluge čuvanja imovine i osoba</t>
  </si>
  <si>
    <t>tr. kom. nakn. i nakn. za uređenje voda</t>
  </si>
  <si>
    <t>skupljanje i zbrinjavanje kom. otpada</t>
  </si>
  <si>
    <t>Tr. ost. servisa</t>
  </si>
  <si>
    <t>Zakupnine i najamnine</t>
  </si>
  <si>
    <t>Najam posl. prostora - Grad</t>
  </si>
  <si>
    <t>Ostali tr. zakupnine</t>
  </si>
  <si>
    <t>Intelektualne i osobne usluge</t>
  </si>
  <si>
    <t>trošak rada putem posredovanja</t>
  </si>
  <si>
    <t>revizorske usluge</t>
  </si>
  <si>
    <t>usluge odvjetnika i pravnog savjetovanja</t>
  </si>
  <si>
    <t>računalne usluge</t>
  </si>
  <si>
    <t>grafičke i tiskarske usluge</t>
  </si>
  <si>
    <t>usluge pri registarciji prijevoznih sredstava</t>
  </si>
  <si>
    <t>geodetsko - katastarske usluge</t>
  </si>
  <si>
    <t xml:space="preserve">Uredski materijal </t>
  </si>
  <si>
    <t>literatura</t>
  </si>
  <si>
    <t>materijal i sredstva za čišćenje i održavanje</t>
  </si>
  <si>
    <t>ostali materijal za potrebe redovnog poslovanja</t>
  </si>
  <si>
    <t>električna energija</t>
  </si>
  <si>
    <t>motorni benzin i dizel gorivo</t>
  </si>
  <si>
    <t>autogume</t>
  </si>
  <si>
    <t>SALDO EIB ZAJMA 31.12.2013.</t>
  </si>
  <si>
    <t>TEČAJ 31.12.2013.</t>
  </si>
  <si>
    <t>TEČAJ 1.3.2015.</t>
  </si>
  <si>
    <t>negativna tečajna razlika za kapitalizirati</t>
  </si>
  <si>
    <t>neg. teč. razlika za Račun PiR</t>
  </si>
  <si>
    <t>ukupno</t>
  </si>
  <si>
    <t>Rashodi za materijal i energiju</t>
  </si>
  <si>
    <t>Trošak reprezentacije</t>
  </si>
  <si>
    <t>Interni</t>
  </si>
  <si>
    <t>Vanjski</t>
  </si>
  <si>
    <t>Medcruise</t>
  </si>
  <si>
    <t>Promidžbeni materijal - Medcruise</t>
  </si>
  <si>
    <t>Lučka uprava Zadar</t>
  </si>
  <si>
    <t>23 000 Zadar</t>
  </si>
  <si>
    <t xml:space="preserve">I. </t>
  </si>
  <si>
    <t>PLANIRANI PRIHODI</t>
  </si>
  <si>
    <t>Prihodi od naplate lučkih pristojbi</t>
  </si>
  <si>
    <t>Prihodi od koncesija</t>
  </si>
  <si>
    <t>Prihodi od naplata pristojbi za izdavanje identifikacijskih iskaznica</t>
  </si>
  <si>
    <t>Prihodi od prodaje roba i pružanja usluga</t>
  </si>
  <si>
    <t>Kamate na oročena sredstva i depozite po viđenju</t>
  </si>
  <si>
    <t>Prihodi od pozitivnih tečajnih razlika</t>
  </si>
  <si>
    <t>Prihodi od financijske imovine</t>
  </si>
  <si>
    <t>Prihodi od donacija iz državnog proračuna - ribarska luka Lamjana</t>
  </si>
  <si>
    <t xml:space="preserve">Prihodi od donacija iz Državnog proračuna </t>
  </si>
  <si>
    <t>Ostali prihodi od donacija</t>
  </si>
  <si>
    <t>Ostali nespomenuti prihodi</t>
  </si>
  <si>
    <t>UKUPNO PRIHODI</t>
  </si>
  <si>
    <t>II.</t>
  </si>
  <si>
    <t>PLANIRANI RASHODI</t>
  </si>
  <si>
    <t>Plaće</t>
  </si>
  <si>
    <t>Ostali rashodi za zaposlene</t>
  </si>
  <si>
    <t>Doprinosi na plaće</t>
  </si>
  <si>
    <t>Službena putovanja</t>
  </si>
  <si>
    <t>Naknade za prijevoz, za rad na terenu i odvojeni život</t>
  </si>
  <si>
    <t>Stručno usavršavanje radnika</t>
  </si>
  <si>
    <t>Naknade troškova zaposlenima</t>
  </si>
  <si>
    <t>Naknade članovima Upravnog vijeća</t>
  </si>
  <si>
    <t>Zdravstvene i veterinarske usluge</t>
  </si>
  <si>
    <t>Računalne usluge</t>
  </si>
  <si>
    <t>Ostale usluge</t>
  </si>
  <si>
    <t>Rashodi za usluge</t>
  </si>
  <si>
    <t>Premije osiguranja</t>
  </si>
  <si>
    <t>Reprezentacija</t>
  </si>
  <si>
    <t>Članarine</t>
  </si>
  <si>
    <t>4294/5</t>
  </si>
  <si>
    <t>Ostali nespomenuti materijalni rashodi</t>
  </si>
  <si>
    <t>Amortizacija</t>
  </si>
  <si>
    <t>Rashodi amortizacije</t>
  </si>
  <si>
    <t>Kamate za primljeni kredit - KfW</t>
  </si>
  <si>
    <t>Kamate za primljeni kredit - EIB</t>
  </si>
  <si>
    <t>Kamate za primljene kredite banaka i ostalih kreditora</t>
  </si>
  <si>
    <t>Bankarske usluge i usluge platnog prometa</t>
  </si>
  <si>
    <t>Negativne tečajne razlike i valutna klauzula</t>
  </si>
  <si>
    <t>Fin. rashodi - KfW commitment fee</t>
  </si>
  <si>
    <t>Ostali financijski rashodi</t>
  </si>
  <si>
    <t>Ostali nespomenuti rashodi</t>
  </si>
  <si>
    <t>UKUPNI RASHODI</t>
  </si>
  <si>
    <t>III.</t>
  </si>
  <si>
    <t xml:space="preserve">VIŠAK (MANJAK) PRIHODA  </t>
  </si>
  <si>
    <t>grafičke i tiskarske usluge - Medruise</t>
  </si>
  <si>
    <t>Stanje zaduženosti 1.1.2015.</t>
  </si>
  <si>
    <t>Novo zaduživanje</t>
  </si>
  <si>
    <t>Otplata u 2015.</t>
  </si>
  <si>
    <t>Smanjenje zaduženosti</t>
  </si>
  <si>
    <t>Smanjenje zaduženosti u %</t>
  </si>
  <si>
    <t>EIB (EUR)</t>
  </si>
  <si>
    <t>KfW (EUR)</t>
  </si>
  <si>
    <t>OTP (kn)</t>
  </si>
  <si>
    <t>Vlaho Đurković 9 mjeseci*20.000</t>
  </si>
  <si>
    <t>05119</t>
  </si>
  <si>
    <t>05513</t>
  </si>
  <si>
    <t>051121</t>
  </si>
  <si>
    <t>Privremena građ. - 20 god.</t>
  </si>
  <si>
    <t>Vrijednost im. u pripremi  25 god.</t>
  </si>
  <si>
    <t>Amortizacija - Nova luka Gaženica</t>
  </si>
  <si>
    <t>radna i zaštitna odjeća</t>
  </si>
  <si>
    <t>Stanje zaduženosti 31.12.2015.</t>
  </si>
  <si>
    <t xml:space="preserve">promidžbene akt. </t>
  </si>
  <si>
    <t xml:space="preserve">Prihodi od zateznih kamata </t>
  </si>
  <si>
    <t>Prihod od naknade štete i refundacija</t>
  </si>
  <si>
    <t>Prihodi od donacija iz Državnog proračuna - Projekt Nova luka Zadar*</t>
  </si>
  <si>
    <t>Prihodi od donacija iz Državnog proračuna - Projekt Nova luka Zadar**</t>
  </si>
  <si>
    <t>Rashodi za nabavu lučke infrastrukture</t>
  </si>
  <si>
    <t>Gaženička cesta 28 A</t>
  </si>
  <si>
    <t xml:space="preserve">PLAN PRIHODA I RASHODA LUČKE UPRAVE ZADAR ZA 2019. GODINU </t>
  </si>
  <si>
    <t>Plan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</si>
</sst>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F_-;\-* #,##0\ _F_-;_-* &quot;-&quot;??\ _F_-;_-@_-"/>
    <numFmt numFmtId="165" formatCode="#,##0.000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i/>
      <u/>
      <sz val="10"/>
      <color rgb="FFFF0000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5" fillId="0" borderId="1" xfId="0" applyFont="1" applyFill="1" applyBorder="1"/>
    <xf numFmtId="0" fontId="5" fillId="0" borderId="2" xfId="0" applyFont="1" applyFill="1" applyBorder="1"/>
    <xf numFmtId="0" fontId="3" fillId="0" borderId="0" xfId="0" applyFont="1" applyAlignment="1">
      <alignment horizontal="center"/>
    </xf>
    <xf numFmtId="4" fontId="6" fillId="0" borderId="0" xfId="0" applyNumberFormat="1" applyFont="1"/>
    <xf numFmtId="165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164" fontId="2" fillId="0" borderId="0" xfId="1" applyNumberFormat="1" applyFont="1" applyBorder="1" applyAlignment="1"/>
    <xf numFmtId="0" fontId="3" fillId="0" borderId="0" xfId="0" quotePrefix="1" applyFont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3" xfId="0" applyFont="1" applyBorder="1"/>
    <xf numFmtId="3" fontId="10" fillId="0" borderId="3" xfId="0" applyNumberFormat="1" applyFont="1" applyBorder="1"/>
    <xf numFmtId="0" fontId="12" fillId="0" borderId="4" xfId="0" applyFont="1" applyBorder="1"/>
    <xf numFmtId="3" fontId="12" fillId="0" borderId="4" xfId="0" applyNumberFormat="1" applyFont="1" applyBorder="1"/>
    <xf numFmtId="0" fontId="10" fillId="0" borderId="4" xfId="0" applyFont="1" applyBorder="1"/>
    <xf numFmtId="3" fontId="10" fillId="0" borderId="4" xfId="0" applyNumberFormat="1" applyFont="1" applyBorder="1"/>
    <xf numFmtId="4" fontId="10" fillId="0" borderId="4" xfId="0" applyNumberFormat="1" applyFont="1" applyBorder="1"/>
    <xf numFmtId="3" fontId="10" fillId="0" borderId="0" xfId="0" applyNumberFormat="1" applyFont="1"/>
    <xf numFmtId="165" fontId="10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4" borderId="7" xfId="0" applyFont="1" applyFill="1" applyBorder="1" applyAlignment="1">
      <alignment horizontal="right" vertical="center"/>
    </xf>
    <xf numFmtId="0" fontId="15" fillId="4" borderId="7" xfId="0" applyFont="1" applyFill="1" applyBorder="1" applyAlignment="1">
      <alignment vertical="center"/>
    </xf>
    <xf numFmtId="0" fontId="15" fillId="4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5" xfId="0" applyFont="1" applyFill="1" applyBorder="1" applyAlignment="1"/>
    <xf numFmtId="3" fontId="14" fillId="0" borderId="5" xfId="0" applyNumberFormat="1" applyFont="1" applyFill="1" applyBorder="1" applyAlignment="1">
      <alignment horizontal="center"/>
    </xf>
    <xf numFmtId="3" fontId="14" fillId="0" borderId="0" xfId="0" applyNumberFormat="1" applyFont="1"/>
    <xf numFmtId="0" fontId="14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4" fontId="14" fillId="0" borderId="0" xfId="0" applyNumberFormat="1" applyFont="1"/>
    <xf numFmtId="0" fontId="17" fillId="0" borderId="5" xfId="0" applyFont="1" applyFill="1" applyBorder="1" applyAlignment="1"/>
    <xf numFmtId="3" fontId="17" fillId="0" borderId="5" xfId="0" applyNumberFormat="1" applyFont="1" applyFill="1" applyBorder="1" applyAlignment="1">
      <alignment horizontal="center"/>
    </xf>
    <xf numFmtId="14" fontId="14" fillId="0" borderId="0" xfId="0" applyNumberFormat="1" applyFont="1"/>
    <xf numFmtId="0" fontId="14" fillId="0" borderId="0" xfId="0" applyFont="1" applyFill="1"/>
    <xf numFmtId="3" fontId="15" fillId="4" borderId="7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17" fillId="0" borderId="0" xfId="0" applyFont="1" applyBorder="1"/>
    <xf numFmtId="0" fontId="14" fillId="0" borderId="0" xfId="0" applyFont="1" applyFill="1" applyBorder="1" applyAlignment="1">
      <alignment horizontal="right"/>
    </xf>
    <xf numFmtId="0" fontId="17" fillId="0" borderId="5" xfId="0" applyFont="1" applyFill="1" applyBorder="1"/>
    <xf numFmtId="0" fontId="17" fillId="0" borderId="2" xfId="0" applyFont="1" applyFill="1" applyBorder="1"/>
    <xf numFmtId="3" fontId="17" fillId="0" borderId="8" xfId="0" applyNumberFormat="1" applyFont="1" applyFill="1" applyBorder="1" applyAlignment="1">
      <alignment horizontal="center"/>
    </xf>
    <xf numFmtId="0" fontId="14" fillId="0" borderId="5" xfId="0" applyFont="1" applyFill="1" applyBorder="1"/>
    <xf numFmtId="0" fontId="14" fillId="0" borderId="2" xfId="0" applyFont="1" applyFill="1" applyBorder="1"/>
    <xf numFmtId="0" fontId="14" fillId="0" borderId="0" xfId="0" applyFont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/>
    <xf numFmtId="0" fontId="14" fillId="0" borderId="5" xfId="0" applyFont="1" applyFill="1" applyBorder="1" applyAlignment="1">
      <alignment horizontal="right"/>
    </xf>
    <xf numFmtId="3" fontId="17" fillId="0" borderId="6" xfId="0" applyNumberFormat="1" applyFont="1" applyFill="1" applyBorder="1" applyAlignment="1">
      <alignment horizontal="center"/>
    </xf>
    <xf numFmtId="0" fontId="18" fillId="4" borderId="7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vertical="center"/>
    </xf>
    <xf numFmtId="3" fontId="15" fillId="3" borderId="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Fill="1" applyBorder="1"/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workbookViewId="0">
      <selection activeCell="H24" sqref="H24"/>
    </sheetView>
  </sheetViews>
  <sheetFormatPr defaultRowHeight="12.75" x14ac:dyDescent="0.2"/>
  <cols>
    <col min="1" max="2" width="9.140625" style="3"/>
    <col min="3" max="3" width="15.7109375" style="3" bestFit="1" customWidth="1"/>
    <col min="4" max="4" width="44.42578125" style="3" bestFit="1" customWidth="1"/>
    <col min="5" max="6" width="11.7109375" style="3" bestFit="1" customWidth="1"/>
    <col min="7" max="7" width="12.42578125" style="3" bestFit="1" customWidth="1"/>
    <col min="8" max="8" width="10.140625" style="3" bestFit="1" customWidth="1"/>
    <col min="9" max="16384" width="9.140625" style="3"/>
  </cols>
  <sheetData>
    <row r="3" spans="2:8" x14ac:dyDescent="0.2">
      <c r="E3" s="9" t="s">
        <v>3</v>
      </c>
      <c r="F3" s="9">
        <v>7.7</v>
      </c>
    </row>
    <row r="4" spans="2:8" x14ac:dyDescent="0.2">
      <c r="D4" s="3" t="s">
        <v>2</v>
      </c>
      <c r="E4" s="9" t="s">
        <v>1</v>
      </c>
      <c r="F4" s="3" t="s">
        <v>7</v>
      </c>
      <c r="G4" s="3" t="s">
        <v>8</v>
      </c>
    </row>
    <row r="5" spans="2:8" x14ac:dyDescent="0.2">
      <c r="B5" s="3">
        <v>1</v>
      </c>
      <c r="C5" s="3" t="s">
        <v>0</v>
      </c>
      <c r="D5" s="4">
        <v>550000</v>
      </c>
      <c r="E5" s="4">
        <f>+D5*F3</f>
        <v>4235000</v>
      </c>
      <c r="F5" s="4">
        <f>+E5*1.25</f>
        <v>5293750</v>
      </c>
      <c r="G5" s="4">
        <f>+F5-E5</f>
        <v>1058750</v>
      </c>
      <c r="H5" s="4"/>
    </row>
    <row r="6" spans="2:8" x14ac:dyDescent="0.2">
      <c r="C6" s="3" t="s">
        <v>4</v>
      </c>
      <c r="D6" s="19">
        <v>299022.4640160558</v>
      </c>
      <c r="E6" s="4"/>
      <c r="F6" s="4"/>
      <c r="G6" s="4"/>
      <c r="H6" s="4"/>
    </row>
    <row r="7" spans="2:8" x14ac:dyDescent="0.2">
      <c r="D7" s="19"/>
      <c r="E7" s="4">
        <v>1949490.2602712987</v>
      </c>
      <c r="F7" s="4">
        <f>+E7*1.25</f>
        <v>2436862.8253391236</v>
      </c>
      <c r="G7" s="4">
        <f>+F7-E7</f>
        <v>487372.56506782491</v>
      </c>
      <c r="H7" s="4"/>
    </row>
    <row r="8" spans="2:8" x14ac:dyDescent="0.2">
      <c r="C8" s="3" t="s">
        <v>5</v>
      </c>
      <c r="D8" s="4"/>
      <c r="E8" s="4"/>
      <c r="F8" s="4"/>
      <c r="G8" s="4"/>
      <c r="H8" s="4"/>
    </row>
    <row r="9" spans="2:8" x14ac:dyDescent="0.2">
      <c r="C9" s="3" t="s">
        <v>6</v>
      </c>
      <c r="D9" s="4">
        <v>700000</v>
      </c>
      <c r="E9" s="4">
        <f>+D9*F3</f>
        <v>5390000</v>
      </c>
      <c r="F9" s="4">
        <f>+E9*1.25</f>
        <v>6737500</v>
      </c>
      <c r="G9" s="4">
        <f>+F9-E9</f>
        <v>1347500</v>
      </c>
      <c r="H9" s="4"/>
    </row>
    <row r="10" spans="2:8" x14ac:dyDescent="0.2">
      <c r="C10" s="3" t="s">
        <v>9</v>
      </c>
      <c r="D10" s="4"/>
      <c r="E10" s="4">
        <f>67246.7+100000</f>
        <v>167246.70000000001</v>
      </c>
      <c r="F10" s="4">
        <f>+E10*1.25</f>
        <v>209058.375</v>
      </c>
      <c r="G10" s="4">
        <f>+F10-E10</f>
        <v>41811.674999999988</v>
      </c>
      <c r="H10" s="4"/>
    </row>
    <row r="11" spans="2:8" x14ac:dyDescent="0.2">
      <c r="D11" s="4"/>
      <c r="E11" s="4"/>
      <c r="F11" s="4"/>
      <c r="G11" s="4"/>
      <c r="H11" s="4"/>
    </row>
    <row r="12" spans="2:8" x14ac:dyDescent="0.2">
      <c r="D12" s="4"/>
      <c r="E12" s="4"/>
      <c r="F12" s="4"/>
      <c r="G12" s="4"/>
      <c r="H12" s="4"/>
    </row>
    <row r="13" spans="2:8" x14ac:dyDescent="0.2">
      <c r="D13" s="4"/>
      <c r="E13" s="4"/>
      <c r="F13" s="4"/>
      <c r="G13" s="4"/>
      <c r="H13" s="4"/>
    </row>
    <row r="14" spans="2:8" x14ac:dyDescent="0.2">
      <c r="D14" s="4"/>
      <c r="E14" s="4"/>
      <c r="F14" s="4"/>
      <c r="G14" s="4"/>
      <c r="H14" s="4"/>
    </row>
    <row r="15" spans="2:8" x14ac:dyDescent="0.2">
      <c r="D15" s="4"/>
      <c r="E15" s="4"/>
      <c r="F15" s="4"/>
      <c r="G15" s="4"/>
      <c r="H1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7"/>
  <sheetViews>
    <sheetView workbookViewId="0">
      <selection activeCell="D76" sqref="D76"/>
    </sheetView>
  </sheetViews>
  <sheetFormatPr defaultRowHeight="12.75" x14ac:dyDescent="0.2"/>
  <cols>
    <col min="1" max="1" width="9.140625" style="3"/>
    <col min="2" max="2" width="27" style="3" bestFit="1" customWidth="1"/>
    <col min="3" max="3" width="27" style="3" customWidth="1"/>
    <col min="4" max="4" width="16.42578125" style="3" bestFit="1" customWidth="1"/>
    <col min="5" max="5" width="15.42578125" style="3" bestFit="1" customWidth="1"/>
    <col min="6" max="6" width="16.42578125" style="3" bestFit="1" customWidth="1"/>
    <col min="7" max="7" width="14.5703125" style="3" bestFit="1" customWidth="1"/>
    <col min="8" max="8" width="13.7109375" style="3" bestFit="1" customWidth="1"/>
    <col min="9" max="9" width="11.140625" style="3" bestFit="1" customWidth="1"/>
    <col min="10" max="12" width="9.140625" style="3"/>
    <col min="13" max="13" width="10.5703125" style="3" bestFit="1" customWidth="1"/>
    <col min="14" max="14" width="9.140625" style="3"/>
    <col min="15" max="15" width="10.85546875" style="3" bestFit="1" customWidth="1"/>
    <col min="16" max="16384" width="9.140625" style="3"/>
  </cols>
  <sheetData>
    <row r="4" spans="1:5" x14ac:dyDescent="0.2">
      <c r="A4" s="3">
        <v>1</v>
      </c>
      <c r="B4" s="3" t="s">
        <v>11</v>
      </c>
      <c r="C4" s="9" t="s">
        <v>14</v>
      </c>
    </row>
    <row r="5" spans="1:5" x14ac:dyDescent="0.2">
      <c r="B5" s="3" t="s">
        <v>10</v>
      </c>
      <c r="C5" s="4">
        <v>7500000</v>
      </c>
      <c r="D5" s="4">
        <f>C5*1.25*300/36000</f>
        <v>78125</v>
      </c>
      <c r="E5" s="4"/>
    </row>
    <row r="6" spans="1:5" x14ac:dyDescent="0.2">
      <c r="B6" s="3" t="s">
        <v>12</v>
      </c>
      <c r="C6" s="4">
        <v>8000000</v>
      </c>
      <c r="D6" s="4">
        <f>8000000*1.9*90/36000</f>
        <v>38000</v>
      </c>
      <c r="E6" s="4"/>
    </row>
    <row r="7" spans="1:5" x14ac:dyDescent="0.2">
      <c r="B7" s="3" t="s">
        <v>13</v>
      </c>
      <c r="C7" s="4">
        <f>410000*7.65</f>
        <v>3136500</v>
      </c>
      <c r="D7" s="4">
        <f>410000*7.65*1.5*90/36000</f>
        <v>11761.875</v>
      </c>
      <c r="E7" s="4"/>
    </row>
    <row r="8" spans="1:5" x14ac:dyDescent="0.2">
      <c r="B8" s="3" t="s">
        <v>12</v>
      </c>
      <c r="C8" s="4">
        <v>8000000</v>
      </c>
      <c r="D8" s="4">
        <f>90*1.6*C8/36000</f>
        <v>32000</v>
      </c>
      <c r="E8" s="4"/>
    </row>
    <row r="9" spans="1:5" x14ac:dyDescent="0.2">
      <c r="B9" s="3" t="s">
        <v>12</v>
      </c>
      <c r="C9" s="4">
        <v>8000000</v>
      </c>
      <c r="D9" s="4">
        <f>+C9*90*1.5/36000</f>
        <v>30000</v>
      </c>
      <c r="E9" s="4"/>
    </row>
    <row r="10" spans="1:5" x14ac:dyDescent="0.2">
      <c r="B10" s="3" t="s">
        <v>13</v>
      </c>
      <c r="C10" s="4">
        <f>410000*7.65</f>
        <v>3136500</v>
      </c>
      <c r="D10" s="4">
        <f>410000*7.65*1.4*90/36000</f>
        <v>10977.75</v>
      </c>
      <c r="E10" s="4"/>
    </row>
    <row r="11" spans="1:5" x14ac:dyDescent="0.2">
      <c r="B11" s="3" t="s">
        <v>13</v>
      </c>
      <c r="C11" s="4">
        <f>410000*7.65</f>
        <v>3136500</v>
      </c>
      <c r="D11" s="4">
        <f>410000*7.65*1.3*180/36000</f>
        <v>20387.25</v>
      </c>
      <c r="E11" s="4"/>
    </row>
    <row r="12" spans="1:5" x14ac:dyDescent="0.2">
      <c r="B12" s="3" t="s">
        <v>12</v>
      </c>
      <c r="C12" s="4">
        <v>8000000</v>
      </c>
      <c r="D12" s="4">
        <f>+C12*90*1.5/36000</f>
        <v>30000</v>
      </c>
      <c r="E12" s="4"/>
    </row>
    <row r="13" spans="1:5" x14ac:dyDescent="0.2">
      <c r="B13" s="3" t="s">
        <v>12</v>
      </c>
      <c r="C13" s="4">
        <f>8000000+8000000</f>
        <v>16000000</v>
      </c>
      <c r="D13" s="4">
        <f>+C13*180*1.4/36000</f>
        <v>111999.99999999999</v>
      </c>
      <c r="E13" s="4"/>
    </row>
    <row r="14" spans="1:5" x14ac:dyDescent="0.2">
      <c r="B14" s="3" t="s">
        <v>15</v>
      </c>
      <c r="C14" s="4">
        <f>200000*7.65</f>
        <v>1530000</v>
      </c>
      <c r="D14" s="4">
        <f>+C14*1*300/36000</f>
        <v>12750</v>
      </c>
      <c r="E14" s="4"/>
    </row>
    <row r="15" spans="1:5" x14ac:dyDescent="0.2">
      <c r="C15" s="4"/>
      <c r="D15" s="4"/>
      <c r="E15" s="4"/>
    </row>
    <row r="16" spans="1:5" x14ac:dyDescent="0.2">
      <c r="C16" s="4"/>
      <c r="D16" s="4"/>
      <c r="E16" s="4"/>
    </row>
    <row r="17" spans="2:15" x14ac:dyDescent="0.2">
      <c r="C17" s="4"/>
      <c r="D17" s="4"/>
      <c r="E17" s="4"/>
    </row>
    <row r="18" spans="2:15" x14ac:dyDescent="0.2">
      <c r="C18" s="4"/>
      <c r="D18" s="4"/>
      <c r="E18" s="4"/>
    </row>
    <row r="19" spans="2:15" x14ac:dyDescent="0.2">
      <c r="C19" s="4"/>
      <c r="D19" s="4">
        <f>SUM(D5:D14)</f>
        <v>376001.875</v>
      </c>
      <c r="E19" s="4"/>
    </row>
    <row r="20" spans="2:15" x14ac:dyDescent="0.2">
      <c r="C20" s="4"/>
      <c r="D20" s="4"/>
      <c r="E20" s="4"/>
    </row>
    <row r="21" spans="2:15" x14ac:dyDescent="0.2">
      <c r="C21" s="4"/>
      <c r="D21" s="4"/>
      <c r="E21" s="4"/>
    </row>
    <row r="22" spans="2:15" x14ac:dyDescent="0.2">
      <c r="B22" s="3" t="s">
        <v>16</v>
      </c>
      <c r="D22" s="4"/>
      <c r="E22" s="4"/>
    </row>
    <row r="23" spans="2:15" x14ac:dyDescent="0.2">
      <c r="B23" s="3" t="s">
        <v>17</v>
      </c>
      <c r="D23" s="4"/>
      <c r="E23" s="4"/>
    </row>
    <row r="24" spans="2:15" x14ac:dyDescent="0.2">
      <c r="B24" s="3" t="s">
        <v>18</v>
      </c>
      <c r="D24" s="4"/>
      <c r="E24" s="4"/>
      <c r="F24" s="4">
        <f>+C31+C41</f>
        <v>144766542.31999999</v>
      </c>
    </row>
    <row r="25" spans="2:15" x14ac:dyDescent="0.2">
      <c r="D25" s="4"/>
      <c r="E25" s="4"/>
    </row>
    <row r="26" spans="2:15" x14ac:dyDescent="0.2">
      <c r="D26" s="4"/>
      <c r="E26" s="4"/>
    </row>
    <row r="28" spans="2:15" x14ac:dyDescent="0.2">
      <c r="D28" s="3" t="s">
        <v>21</v>
      </c>
      <c r="E28" s="3" t="s">
        <v>75</v>
      </c>
      <c r="F28" s="3" t="s">
        <v>22</v>
      </c>
      <c r="G28" s="3" t="s">
        <v>23</v>
      </c>
      <c r="H28" s="3" t="s">
        <v>26</v>
      </c>
    </row>
    <row r="29" spans="2:15" x14ac:dyDescent="0.2">
      <c r="D29" s="3">
        <v>7.6614709999999997</v>
      </c>
      <c r="E29" s="3">
        <v>7.7</v>
      </c>
      <c r="F29" s="3">
        <v>7.71</v>
      </c>
      <c r="G29" s="3">
        <v>7.75</v>
      </c>
      <c r="I29" s="16">
        <f>+G29-E29</f>
        <v>4.9999999999999822E-2</v>
      </c>
    </row>
    <row r="30" spans="2:15" x14ac:dyDescent="0.2">
      <c r="B30" s="3" t="s">
        <v>19</v>
      </c>
      <c r="H30" s="9"/>
      <c r="I30" s="16">
        <f>+F29-E29</f>
        <v>9.9999999999997868E-3</v>
      </c>
    </row>
    <row r="31" spans="2:15" x14ac:dyDescent="0.2">
      <c r="B31" s="3" t="s">
        <v>20</v>
      </c>
      <c r="C31" s="12">
        <v>76385365.849999994</v>
      </c>
      <c r="D31" s="12">
        <f>+C31*D29</f>
        <v>585224265.28416526</v>
      </c>
      <c r="E31" s="12">
        <f>+C31*E29</f>
        <v>588167317.04499996</v>
      </c>
      <c r="F31" s="13"/>
      <c r="G31" s="13"/>
      <c r="H31" s="10">
        <f>+D31-E31</f>
        <v>-2943051.7608346939</v>
      </c>
      <c r="I31" s="18">
        <f>+H31+H41</f>
        <v>-5577710.1090473533</v>
      </c>
      <c r="J31" s="14" t="s">
        <v>76</v>
      </c>
      <c r="K31" s="14"/>
      <c r="L31" s="14"/>
      <c r="O31" s="4">
        <f>+B33+B34+B35</f>
        <v>331707.32</v>
      </c>
    </row>
    <row r="32" spans="2:15" x14ac:dyDescent="0.2">
      <c r="B32" s="3" t="s">
        <v>24</v>
      </c>
      <c r="C32" s="4"/>
      <c r="O32" s="4">
        <f>+B42+B44</f>
        <v>14117647.060000001</v>
      </c>
    </row>
    <row r="33" spans="2:13" x14ac:dyDescent="0.2">
      <c r="B33" s="4">
        <v>14634.15</v>
      </c>
      <c r="C33" s="4">
        <f>+B33*F29</f>
        <v>112829.2965</v>
      </c>
      <c r="D33" s="4"/>
      <c r="E33" s="4"/>
      <c r="F33" s="4"/>
      <c r="G33" s="4"/>
      <c r="H33" s="4"/>
    </row>
    <row r="34" spans="2:13" x14ac:dyDescent="0.2">
      <c r="B34" s="4">
        <v>14634.15</v>
      </c>
      <c r="C34" s="4">
        <f>+B34*F29</f>
        <v>112829.2965</v>
      </c>
      <c r="D34" s="4"/>
      <c r="E34" s="4"/>
      <c r="F34" s="4"/>
      <c r="G34" s="4"/>
      <c r="H34" s="4"/>
    </row>
    <row r="35" spans="2:13" x14ac:dyDescent="0.2">
      <c r="B35" s="4">
        <v>302439.02</v>
      </c>
      <c r="C35" s="4">
        <f>+B35*G29</f>
        <v>2343902.4050000003</v>
      </c>
      <c r="D35" s="4"/>
      <c r="E35" s="4"/>
      <c r="F35" s="4"/>
      <c r="G35" s="4"/>
      <c r="H35" s="4"/>
    </row>
    <row r="36" spans="2:13" x14ac:dyDescent="0.2">
      <c r="B36" s="4">
        <f>+C31-B33-B34-B35</f>
        <v>76053658.529999986</v>
      </c>
      <c r="C36" s="4">
        <f>+E31-C33-C34-C35</f>
        <v>585597756.04700005</v>
      </c>
      <c r="D36" s="4">
        <f>+B36*G29</f>
        <v>589415853.60749984</v>
      </c>
      <c r="E36" s="4"/>
      <c r="F36" s="4"/>
      <c r="G36" s="4"/>
      <c r="H36" s="17">
        <f>+C36-D36</f>
        <v>-3818097.5604997873</v>
      </c>
      <c r="I36" s="15" t="s">
        <v>77</v>
      </c>
      <c r="L36" s="15" t="s">
        <v>78</v>
      </c>
      <c r="M36" s="18">
        <f>+H36+H45</f>
        <v>-6994803.442799747</v>
      </c>
    </row>
    <row r="37" spans="2:13" x14ac:dyDescent="0.2">
      <c r="B37" s="4"/>
      <c r="C37" s="4"/>
      <c r="D37" s="4"/>
      <c r="E37" s="4"/>
      <c r="F37" s="4"/>
      <c r="G37" s="4"/>
      <c r="H37" s="4"/>
    </row>
    <row r="38" spans="2:13" x14ac:dyDescent="0.2">
      <c r="B38" s="4"/>
      <c r="C38" s="4"/>
      <c r="D38" s="4"/>
      <c r="E38" s="4"/>
      <c r="F38" s="4"/>
      <c r="G38" s="4"/>
      <c r="H38" s="4"/>
    </row>
    <row r="39" spans="2:13" x14ac:dyDescent="0.2">
      <c r="B39" s="4"/>
      <c r="C39" s="4"/>
      <c r="D39" s="4"/>
      <c r="E39" s="4"/>
      <c r="F39" s="4"/>
      <c r="G39" s="4"/>
      <c r="H39" s="10"/>
    </row>
    <row r="40" spans="2:13" x14ac:dyDescent="0.2">
      <c r="C40" s="4"/>
      <c r="D40" s="4"/>
      <c r="E40" s="4"/>
      <c r="F40" s="4"/>
      <c r="G40" s="4"/>
      <c r="H40" s="4"/>
    </row>
    <row r="41" spans="2:13" x14ac:dyDescent="0.2">
      <c r="B41" s="3" t="s">
        <v>25</v>
      </c>
      <c r="C41" s="12">
        <v>68381176.469999999</v>
      </c>
      <c r="D41" s="12">
        <f>+C41*D29</f>
        <v>523900400.47078735</v>
      </c>
      <c r="E41" s="12">
        <f>+C41*E29</f>
        <v>526535058.81900001</v>
      </c>
      <c r="F41" s="12"/>
      <c r="G41" s="12"/>
      <c r="H41" s="10">
        <f>+D41-E41</f>
        <v>-2634658.3482126594</v>
      </c>
      <c r="I41" s="14" t="s">
        <v>76</v>
      </c>
    </row>
    <row r="42" spans="2:13" x14ac:dyDescent="0.2">
      <c r="B42" s="4">
        <v>7058823.5300000003</v>
      </c>
      <c r="C42" s="4">
        <f>+B42*F29</f>
        <v>54423529.416299999</v>
      </c>
      <c r="D42" s="4">
        <f>+C42*D29</f>
        <v>416964292.34062934</v>
      </c>
      <c r="E42" s="4">
        <f>+C42*E29</f>
        <v>419061176.50550997</v>
      </c>
      <c r="F42" s="4"/>
      <c r="G42" s="4"/>
      <c r="H42" s="4"/>
    </row>
    <row r="43" spans="2:13" x14ac:dyDescent="0.2">
      <c r="B43" s="4">
        <v>1000000</v>
      </c>
      <c r="C43" s="4">
        <f>+B43*F29</f>
        <v>7710000</v>
      </c>
      <c r="D43" s="4"/>
      <c r="E43" s="4"/>
      <c r="F43" s="4"/>
      <c r="G43" s="4"/>
      <c r="H43" s="4"/>
    </row>
    <row r="44" spans="2:13" x14ac:dyDescent="0.2">
      <c r="B44" s="4">
        <v>7058823.5300000003</v>
      </c>
      <c r="C44" s="4">
        <f>+B44*G29</f>
        <v>54705882.357500002</v>
      </c>
      <c r="D44" s="4">
        <f>+C44*D29</f>
        <v>419127531.21139789</v>
      </c>
      <c r="E44" s="4"/>
      <c r="F44" s="4"/>
      <c r="G44" s="4"/>
      <c r="H44" s="4"/>
    </row>
    <row r="45" spans="2:13" x14ac:dyDescent="0.2">
      <c r="B45" s="4">
        <f>+C41-B42+B43-B44</f>
        <v>55263529.409999996</v>
      </c>
      <c r="C45" s="4">
        <f>+E41-C42+C43-C44</f>
        <v>425115647.04519999</v>
      </c>
      <c r="D45" s="4">
        <f>+B45*G29</f>
        <v>428292352.92749995</v>
      </c>
      <c r="E45" s="4"/>
      <c r="F45" s="4"/>
      <c r="G45" s="4"/>
      <c r="H45" s="17">
        <f>+C45-D45</f>
        <v>-3176705.8822999597</v>
      </c>
      <c r="I45" s="15" t="s">
        <v>77</v>
      </c>
    </row>
    <row r="46" spans="2:13" x14ac:dyDescent="0.2">
      <c r="C46" s="4"/>
      <c r="D46" s="4"/>
      <c r="E46" s="4"/>
      <c r="F46" s="4"/>
      <c r="G46" s="4"/>
      <c r="H46" s="4"/>
    </row>
    <row r="47" spans="2:13" x14ac:dyDescent="0.2">
      <c r="C47" s="4">
        <f>+E41-C42+C43-C44</f>
        <v>425115647.04519999</v>
      </c>
      <c r="D47" s="4"/>
      <c r="E47" s="4"/>
      <c r="F47" s="4"/>
      <c r="G47" s="4"/>
      <c r="H47" s="10"/>
    </row>
    <row r="48" spans="2:13" x14ac:dyDescent="0.2">
      <c r="C48" s="4">
        <f>+C41-B42+B43-B44</f>
        <v>55263529.409999996</v>
      </c>
    </row>
    <row r="49" spans="2:9" x14ac:dyDescent="0.2">
      <c r="C49" s="4"/>
    </row>
    <row r="50" spans="2:9" x14ac:dyDescent="0.2">
      <c r="C50" s="4"/>
    </row>
    <row r="51" spans="2:9" x14ac:dyDescent="0.2">
      <c r="C51" s="4"/>
      <c r="G51" s="10">
        <f>+G47+G39</f>
        <v>0</v>
      </c>
    </row>
    <row r="52" spans="2:9" x14ac:dyDescent="0.2">
      <c r="D52" s="3" t="s">
        <v>74</v>
      </c>
      <c r="E52" s="3" t="s">
        <v>22</v>
      </c>
      <c r="F52" s="3" t="s">
        <v>21</v>
      </c>
      <c r="G52" s="3" t="s">
        <v>26</v>
      </c>
    </row>
    <row r="53" spans="2:9" x14ac:dyDescent="0.2">
      <c r="D53" s="3">
        <v>7.6376429999999997</v>
      </c>
      <c r="E53" s="3">
        <v>7.7</v>
      </c>
      <c r="F53" s="3">
        <v>7.6614709999999997</v>
      </c>
      <c r="I53" s="15">
        <f>+F53-D53</f>
        <v>2.382799999999996E-2</v>
      </c>
    </row>
    <row r="54" spans="2:9" x14ac:dyDescent="0.2">
      <c r="B54" s="3" t="s">
        <v>19</v>
      </c>
      <c r="G54" s="9"/>
    </row>
    <row r="55" spans="2:9" x14ac:dyDescent="0.2">
      <c r="B55" s="3" t="s">
        <v>73</v>
      </c>
      <c r="C55" s="4">
        <v>66200000</v>
      </c>
      <c r="D55" s="3">
        <f>+C55*D53</f>
        <v>505611966.59999996</v>
      </c>
    </row>
    <row r="56" spans="2:9" x14ac:dyDescent="0.2">
      <c r="B56" s="3" t="s">
        <v>24</v>
      </c>
      <c r="C56" s="4"/>
    </row>
    <row r="57" spans="2:9" x14ac:dyDescent="0.2">
      <c r="B57" s="4">
        <v>14634.15</v>
      </c>
      <c r="C57" s="11">
        <v>7.6294209999999998</v>
      </c>
      <c r="D57" s="4">
        <f>+B57*C57</f>
        <v>111650.09132714999</v>
      </c>
      <c r="E57" s="4"/>
      <c r="F57" s="4">
        <f>+B57*F53</f>
        <v>112119.11583464999</v>
      </c>
      <c r="G57" s="4"/>
    </row>
    <row r="58" spans="2:9" x14ac:dyDescent="0.2">
      <c r="B58" s="4">
        <v>14634.15</v>
      </c>
      <c r="C58" s="11">
        <v>7.6403809999999996</v>
      </c>
      <c r="D58" s="4">
        <f>+B58*C58</f>
        <v>111810.48161115</v>
      </c>
      <c r="E58" s="4"/>
      <c r="F58" s="4">
        <f>+B58*F53</f>
        <v>112119.11583464999</v>
      </c>
      <c r="G58" s="4"/>
    </row>
    <row r="59" spans="2:9" x14ac:dyDescent="0.2">
      <c r="B59" s="4">
        <v>10200000</v>
      </c>
      <c r="C59" s="11">
        <v>7.610919</v>
      </c>
      <c r="D59" s="4">
        <f>+B59*C59</f>
        <v>77631373.799999997</v>
      </c>
      <c r="E59" s="4"/>
      <c r="F59" s="4">
        <f>+B59*F53</f>
        <v>78147004.200000003</v>
      </c>
      <c r="G59" s="4"/>
    </row>
    <row r="60" spans="2:9" x14ac:dyDescent="0.2">
      <c r="B60" s="4">
        <f>+B59+C55-B57-B58</f>
        <v>76370731.699999988</v>
      </c>
      <c r="C60" s="11"/>
      <c r="D60" s="4">
        <f>+D55-D57-D58+D59</f>
        <v>583019879.82706165</v>
      </c>
      <c r="E60" s="4"/>
      <c r="F60" s="4">
        <f>+F53*B60</f>
        <v>585112146.16833055</v>
      </c>
      <c r="G60" s="10">
        <f>+D60-F60</f>
        <v>-2092266.3412688971</v>
      </c>
    </row>
    <row r="61" spans="2:9" x14ac:dyDescent="0.2">
      <c r="B61" s="4"/>
      <c r="C61" s="4"/>
      <c r="D61" s="4"/>
      <c r="E61" s="4"/>
      <c r="F61" s="4"/>
      <c r="G61" s="4"/>
    </row>
    <row r="62" spans="2:9" x14ac:dyDescent="0.2">
      <c r="B62" s="4"/>
      <c r="C62" s="4"/>
      <c r="D62" s="4"/>
      <c r="E62" s="4"/>
      <c r="F62" s="4"/>
      <c r="G62" s="4"/>
    </row>
    <row r="63" spans="2:9" x14ac:dyDescent="0.2">
      <c r="B63" s="4"/>
      <c r="C63" s="4"/>
      <c r="D63" s="4"/>
      <c r="E63" s="4"/>
      <c r="F63" s="4"/>
      <c r="G63" s="4"/>
    </row>
    <row r="64" spans="2:9" x14ac:dyDescent="0.2">
      <c r="B64" s="4"/>
      <c r="C64" s="4"/>
      <c r="D64" s="4"/>
      <c r="E64" s="4"/>
      <c r="F64" s="4"/>
      <c r="G64" s="10"/>
    </row>
    <row r="65" spans="2:7" x14ac:dyDescent="0.2">
      <c r="C65" s="4"/>
      <c r="D65" s="4"/>
      <c r="E65" s="4"/>
      <c r="F65" s="4"/>
      <c r="G65" s="4"/>
    </row>
    <row r="66" spans="2:7" x14ac:dyDescent="0.2">
      <c r="B66" s="3" t="s">
        <v>25</v>
      </c>
      <c r="C66" s="4">
        <v>69440000</v>
      </c>
      <c r="D66" s="4">
        <f>+C66*D53</f>
        <v>530357929.91999996</v>
      </c>
      <c r="E66" s="4"/>
      <c r="F66" s="4"/>
      <c r="G66" s="4"/>
    </row>
    <row r="67" spans="2:7" x14ac:dyDescent="0.2">
      <c r="B67" s="4">
        <v>2300000</v>
      </c>
      <c r="C67" s="11">
        <v>7.6120469999999996</v>
      </c>
      <c r="D67" s="4">
        <f>+B67*C67</f>
        <v>17507708.099999998</v>
      </c>
      <c r="E67" s="4"/>
      <c r="F67" s="4">
        <f>+B67*F53</f>
        <v>17621383.300000001</v>
      </c>
      <c r="G67" s="4"/>
    </row>
    <row r="68" spans="2:7" x14ac:dyDescent="0.2">
      <c r="B68" s="4">
        <v>7058823.5300000003</v>
      </c>
      <c r="C68" s="11">
        <v>7.5677709999999996</v>
      </c>
      <c r="D68" s="4">
        <f>+B68*C68</f>
        <v>53419560.004451632</v>
      </c>
      <c r="E68" s="4"/>
      <c r="F68" s="4"/>
      <c r="G68" s="4"/>
    </row>
    <row r="69" spans="2:7" x14ac:dyDescent="0.2">
      <c r="B69" s="4">
        <v>3700000</v>
      </c>
      <c r="C69" s="11">
        <v>7.6077149999999998</v>
      </c>
      <c r="D69" s="4">
        <f>+B69*C69</f>
        <v>28148545.5</v>
      </c>
      <c r="E69" s="4"/>
      <c r="F69" s="4">
        <f>+B69*F53</f>
        <v>28347442.699999999</v>
      </c>
      <c r="G69" s="4"/>
    </row>
    <row r="70" spans="2:7" x14ac:dyDescent="0.2">
      <c r="B70" s="4">
        <v>7058823.5300000003</v>
      </c>
      <c r="C70" s="11">
        <v>7.6639860000000004</v>
      </c>
      <c r="D70" s="4">
        <f>+B70*C70</f>
        <v>54098724.710390583</v>
      </c>
      <c r="E70" s="4"/>
      <c r="F70" s="4"/>
      <c r="G70" s="4"/>
    </row>
    <row r="71" spans="2:7" x14ac:dyDescent="0.2">
      <c r="B71" s="4">
        <f>+C66+B67-B68+B69-B70</f>
        <v>61322352.939999998</v>
      </c>
      <c r="C71" s="4"/>
      <c r="D71" s="4">
        <f>+D66+D67-D68+D69-D70</f>
        <v>468495898.80515778</v>
      </c>
      <c r="E71" s="4"/>
      <c r="F71" s="4">
        <f>+B71*F53</f>
        <v>469819428.70157468</v>
      </c>
      <c r="G71" s="10">
        <f>+D71-F71</f>
        <v>-1323529.8964169025</v>
      </c>
    </row>
    <row r="72" spans="2:7" x14ac:dyDescent="0.2">
      <c r="C72" s="4"/>
      <c r="D72" s="4"/>
      <c r="E72" s="4"/>
      <c r="F72" s="4"/>
      <c r="G72" s="4"/>
    </row>
    <row r="73" spans="2:7" x14ac:dyDescent="0.2">
      <c r="C73" s="4"/>
      <c r="D73" s="4"/>
      <c r="E73" s="4"/>
      <c r="F73" s="4"/>
      <c r="G73" s="10">
        <f>+G60+G71</f>
        <v>-3415796.2376857996</v>
      </c>
    </row>
    <row r="74" spans="2:7" x14ac:dyDescent="0.2">
      <c r="C74" s="4"/>
    </row>
    <row r="75" spans="2:7" x14ac:dyDescent="0.2">
      <c r="C75" s="4"/>
    </row>
    <row r="76" spans="2:7" x14ac:dyDescent="0.2">
      <c r="C76" s="4"/>
    </row>
    <row r="77" spans="2:7" x14ac:dyDescent="0.2">
      <c r="C77" s="4"/>
      <c r="G77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82"/>
  <sheetViews>
    <sheetView topLeftCell="A16" workbookViewId="0">
      <selection activeCell="C28" sqref="C28"/>
    </sheetView>
  </sheetViews>
  <sheetFormatPr defaultRowHeight="12.75" x14ac:dyDescent="0.2"/>
  <cols>
    <col min="1" max="1" width="6" style="3" customWidth="1"/>
    <col min="2" max="2" width="43.85546875" style="3" bestFit="1" customWidth="1"/>
    <col min="3" max="3" width="13.140625" style="3" bestFit="1" customWidth="1"/>
    <col min="4" max="4" width="10" style="3" bestFit="1" customWidth="1"/>
    <col min="5" max="16384" width="9.140625" style="3"/>
  </cols>
  <sheetData>
    <row r="5" spans="1:4" x14ac:dyDescent="0.2">
      <c r="A5" s="3">
        <v>424</v>
      </c>
      <c r="B5" s="3" t="s">
        <v>27</v>
      </c>
    </row>
    <row r="6" spans="1:4" x14ac:dyDescent="0.2">
      <c r="B6" s="3" t="s">
        <v>142</v>
      </c>
      <c r="C6" s="5">
        <v>180000</v>
      </c>
    </row>
    <row r="7" spans="1:4" x14ac:dyDescent="0.2">
      <c r="C7" s="4"/>
    </row>
    <row r="8" spans="1:4" x14ac:dyDescent="0.2">
      <c r="A8" s="1">
        <v>4251</v>
      </c>
      <c r="B8" s="2" t="s">
        <v>28</v>
      </c>
      <c r="C8" s="5">
        <v>100000</v>
      </c>
    </row>
    <row r="9" spans="1:4" x14ac:dyDescent="0.2">
      <c r="B9" s="3" t="s">
        <v>29</v>
      </c>
      <c r="C9" s="4">
        <v>5000</v>
      </c>
      <c r="D9" s="4">
        <f>SUM(C9:C13)</f>
        <v>101200</v>
      </c>
    </row>
    <row r="10" spans="1:4" x14ac:dyDescent="0.2">
      <c r="B10" s="3" t="s">
        <v>30</v>
      </c>
      <c r="C10" s="4">
        <v>15000</v>
      </c>
    </row>
    <row r="11" spans="1:4" x14ac:dyDescent="0.2">
      <c r="B11" s="3" t="s">
        <v>31</v>
      </c>
      <c r="C11" s="4">
        <v>70000</v>
      </c>
    </row>
    <row r="12" spans="1:4" x14ac:dyDescent="0.2">
      <c r="B12" s="3" t="s">
        <v>33</v>
      </c>
      <c r="C12" s="4">
        <v>10000</v>
      </c>
    </row>
    <row r="13" spans="1:4" x14ac:dyDescent="0.2">
      <c r="B13" s="3" t="s">
        <v>36</v>
      </c>
      <c r="C13" s="4">
        <v>1200</v>
      </c>
    </row>
    <row r="14" spans="1:4" x14ac:dyDescent="0.2">
      <c r="C14" s="4"/>
    </row>
    <row r="15" spans="1:4" x14ac:dyDescent="0.2">
      <c r="C15" s="4"/>
    </row>
    <row r="16" spans="1:4" x14ac:dyDescent="0.2">
      <c r="A16" s="7">
        <v>4252</v>
      </c>
      <c r="B16" s="8" t="s">
        <v>34</v>
      </c>
      <c r="C16" s="5">
        <v>1700000</v>
      </c>
      <c r="D16" s="4">
        <f>SUM(C17:C24)</f>
        <v>1671000</v>
      </c>
    </row>
    <row r="17" spans="1:4" x14ac:dyDescent="0.2">
      <c r="B17" s="3" t="s">
        <v>35</v>
      </c>
      <c r="C17" s="4">
        <v>1000</v>
      </c>
    </row>
    <row r="18" spans="1:4" x14ac:dyDescent="0.2">
      <c r="B18" s="3" t="s">
        <v>37</v>
      </c>
      <c r="C18" s="4">
        <v>10000</v>
      </c>
    </row>
    <row r="19" spans="1:4" x14ac:dyDescent="0.2">
      <c r="B19" s="3" t="s">
        <v>54</v>
      </c>
      <c r="C19" s="4">
        <v>5000</v>
      </c>
    </row>
    <row r="20" spans="1:4" x14ac:dyDescent="0.2">
      <c r="B20" s="3" t="s">
        <v>38</v>
      </c>
      <c r="C20" s="4">
        <f>50000*1.25+70000*1.25</f>
        <v>150000</v>
      </c>
    </row>
    <row r="21" spans="1:4" x14ac:dyDescent="0.2">
      <c r="B21" s="3" t="s">
        <v>39</v>
      </c>
      <c r="C21" s="4">
        <v>40000</v>
      </c>
    </row>
    <row r="22" spans="1:4" x14ac:dyDescent="0.2">
      <c r="B22" s="3" t="s">
        <v>40</v>
      </c>
      <c r="C22" s="4">
        <v>25000</v>
      </c>
    </row>
    <row r="23" spans="1:4" x14ac:dyDescent="0.2">
      <c r="B23" s="3" t="s">
        <v>42</v>
      </c>
      <c r="C23" s="4">
        <v>40000</v>
      </c>
      <c r="D23" s="3">
        <f>30000*1.25</f>
        <v>37500</v>
      </c>
    </row>
    <row r="24" spans="1:4" x14ac:dyDescent="0.2">
      <c r="B24" s="3" t="s">
        <v>41</v>
      </c>
      <c r="C24" s="4">
        <v>1400000</v>
      </c>
    </row>
    <row r="25" spans="1:4" x14ac:dyDescent="0.2">
      <c r="C25" s="4"/>
    </row>
    <row r="26" spans="1:4" x14ac:dyDescent="0.2">
      <c r="C26" s="4"/>
    </row>
    <row r="27" spans="1:4" x14ac:dyDescent="0.2">
      <c r="A27" s="6">
        <v>4253</v>
      </c>
      <c r="B27" s="6" t="s">
        <v>32</v>
      </c>
      <c r="C27" s="5">
        <v>250000</v>
      </c>
      <c r="D27" s="4">
        <f>SUM(C28:C32)</f>
        <v>250000</v>
      </c>
    </row>
    <row r="28" spans="1:4" x14ac:dyDescent="0.2">
      <c r="B28" s="3" t="s">
        <v>43</v>
      </c>
      <c r="C28" s="4">
        <v>50000</v>
      </c>
    </row>
    <row r="29" spans="1:4" x14ac:dyDescent="0.2">
      <c r="B29" s="3" t="s">
        <v>151</v>
      </c>
      <c r="C29" s="4">
        <v>20000</v>
      </c>
    </row>
    <row r="30" spans="1:4" x14ac:dyDescent="0.2">
      <c r="B30" s="3" t="s">
        <v>44</v>
      </c>
      <c r="C30" s="4">
        <f>40000+60000</f>
        <v>100000</v>
      </c>
    </row>
    <row r="31" spans="1:4" x14ac:dyDescent="0.2">
      <c r="B31" s="3" t="s">
        <v>45</v>
      </c>
      <c r="C31" s="4">
        <v>20000</v>
      </c>
    </row>
    <row r="32" spans="1:4" ht="12" customHeight="1" x14ac:dyDescent="0.2">
      <c r="B32" s="3" t="s">
        <v>84</v>
      </c>
      <c r="C32" s="4">
        <f>30000+30000</f>
        <v>60000</v>
      </c>
    </row>
    <row r="33" spans="1:4" x14ac:dyDescent="0.2">
      <c r="C33" s="4"/>
    </row>
    <row r="34" spans="1:4" x14ac:dyDescent="0.2">
      <c r="C34" s="4"/>
    </row>
    <row r="35" spans="1:4" x14ac:dyDescent="0.2">
      <c r="A35" s="6">
        <v>4254</v>
      </c>
      <c r="B35" s="6" t="s">
        <v>46</v>
      </c>
      <c r="C35" s="5">
        <v>400000</v>
      </c>
      <c r="D35" s="4">
        <f>SUM(C36:C42)</f>
        <v>398000</v>
      </c>
    </row>
    <row r="36" spans="1:4" x14ac:dyDescent="0.2">
      <c r="B36" s="3" t="s">
        <v>47</v>
      </c>
      <c r="C36" s="4">
        <v>3000</v>
      </c>
      <c r="D36" s="4"/>
    </row>
    <row r="37" spans="1:4" x14ac:dyDescent="0.2">
      <c r="B37" s="3" t="s">
        <v>48</v>
      </c>
      <c r="C37" s="4">
        <v>15000</v>
      </c>
      <c r="D37" s="4"/>
    </row>
    <row r="38" spans="1:4" x14ac:dyDescent="0.2">
      <c r="B38" s="3" t="s">
        <v>49</v>
      </c>
      <c r="C38" s="4">
        <v>40000</v>
      </c>
      <c r="D38" s="4">
        <f>30000*1.25</f>
        <v>37500</v>
      </c>
    </row>
    <row r="39" spans="1:4" x14ac:dyDescent="0.2">
      <c r="B39" s="3" t="s">
        <v>53</v>
      </c>
      <c r="C39" s="4">
        <f>40000*1.25</f>
        <v>50000</v>
      </c>
      <c r="D39" s="4"/>
    </row>
    <row r="40" spans="1:4" x14ac:dyDescent="0.2">
      <c r="B40" s="3" t="s">
        <v>50</v>
      </c>
      <c r="C40" s="4">
        <v>140000</v>
      </c>
      <c r="D40" s="4">
        <f>75000*1.25+30000*1.25</f>
        <v>131250</v>
      </c>
    </row>
    <row r="41" spans="1:4" x14ac:dyDescent="0.2">
      <c r="B41" s="3" t="s">
        <v>51</v>
      </c>
      <c r="C41" s="4">
        <v>140000</v>
      </c>
      <c r="D41" s="4">
        <f>109000*1.25</f>
        <v>136250</v>
      </c>
    </row>
    <row r="42" spans="1:4" x14ac:dyDescent="0.2">
      <c r="B42" s="3" t="s">
        <v>52</v>
      </c>
      <c r="C42" s="4">
        <v>10000</v>
      </c>
      <c r="D42" s="4"/>
    </row>
    <row r="43" spans="1:4" x14ac:dyDescent="0.2">
      <c r="C43" s="4"/>
      <c r="D43" s="4"/>
    </row>
    <row r="44" spans="1:4" x14ac:dyDescent="0.2">
      <c r="A44" s="6">
        <v>4255</v>
      </c>
      <c r="B44" s="6" t="s">
        <v>55</v>
      </c>
      <c r="C44" s="5">
        <v>25000</v>
      </c>
      <c r="D44" s="4"/>
    </row>
    <row r="45" spans="1:4" x14ac:dyDescent="0.2">
      <c r="B45" s="3" t="s">
        <v>56</v>
      </c>
      <c r="C45" s="4">
        <v>25000</v>
      </c>
      <c r="D45" s="4">
        <f>4*6000</f>
        <v>24000</v>
      </c>
    </row>
    <row r="46" spans="1:4" x14ac:dyDescent="0.2">
      <c r="B46" s="3" t="s">
        <v>57</v>
      </c>
      <c r="C46" s="4">
        <v>0</v>
      </c>
      <c r="D46" s="4"/>
    </row>
    <row r="47" spans="1:4" x14ac:dyDescent="0.2">
      <c r="C47" s="4"/>
      <c r="D47" s="4"/>
    </row>
    <row r="48" spans="1:4" x14ac:dyDescent="0.2">
      <c r="A48" s="6">
        <v>4257</v>
      </c>
      <c r="B48" s="6" t="s">
        <v>58</v>
      </c>
      <c r="C48" s="5">
        <v>650000</v>
      </c>
      <c r="D48" s="4">
        <f>SUM(C49:C56)</f>
        <v>641750</v>
      </c>
    </row>
    <row r="49" spans="1:4" x14ac:dyDescent="0.2">
      <c r="B49" s="3" t="s">
        <v>59</v>
      </c>
      <c r="C49" s="4">
        <v>60000</v>
      </c>
      <c r="D49" s="4"/>
    </row>
    <row r="50" spans="1:4" x14ac:dyDescent="0.2">
      <c r="B50" s="3" t="s">
        <v>65</v>
      </c>
      <c r="C50" s="4">
        <f>100000*1.25+195000*1.25</f>
        <v>368750</v>
      </c>
      <c r="D50" s="4"/>
    </row>
    <row r="51" spans="1:4" x14ac:dyDescent="0.2">
      <c r="B51" s="3" t="s">
        <v>60</v>
      </c>
      <c r="C51" s="4">
        <v>110000</v>
      </c>
      <c r="D51" s="4">
        <f>90000*1.25</f>
        <v>112500</v>
      </c>
    </row>
    <row r="52" spans="1:4" x14ac:dyDescent="0.2">
      <c r="B52" s="3" t="s">
        <v>61</v>
      </c>
      <c r="C52" s="4">
        <v>10000</v>
      </c>
      <c r="D52" s="4"/>
    </row>
    <row r="53" spans="1:4" x14ac:dyDescent="0.2">
      <c r="B53" s="3" t="s">
        <v>62</v>
      </c>
      <c r="C53" s="4">
        <v>10000</v>
      </c>
      <c r="D53" s="4"/>
    </row>
    <row r="54" spans="1:4" x14ac:dyDescent="0.2">
      <c r="B54" s="3" t="s">
        <v>63</v>
      </c>
      <c r="C54" s="4">
        <v>20000</v>
      </c>
      <c r="D54" s="4"/>
    </row>
    <row r="55" spans="1:4" x14ac:dyDescent="0.2">
      <c r="B55" s="3" t="s">
        <v>133</v>
      </c>
      <c r="C55" s="4">
        <v>60000</v>
      </c>
      <c r="D55" s="4"/>
    </row>
    <row r="56" spans="1:4" x14ac:dyDescent="0.2">
      <c r="B56" s="3" t="s">
        <v>64</v>
      </c>
      <c r="C56" s="4">
        <v>3000</v>
      </c>
      <c r="D56" s="4"/>
    </row>
    <row r="57" spans="1:4" x14ac:dyDescent="0.2">
      <c r="C57" s="4"/>
      <c r="D57" s="4"/>
    </row>
    <row r="58" spans="1:4" x14ac:dyDescent="0.2">
      <c r="A58" s="6">
        <v>4261</v>
      </c>
      <c r="B58" s="6" t="s">
        <v>79</v>
      </c>
      <c r="C58" s="5">
        <v>270000</v>
      </c>
      <c r="D58" s="4"/>
    </row>
    <row r="59" spans="1:4" x14ac:dyDescent="0.2">
      <c r="B59" s="3" t="s">
        <v>66</v>
      </c>
      <c r="C59" s="4">
        <v>20000</v>
      </c>
      <c r="D59" s="4">
        <f>SUM(C59:C66)</f>
        <v>262000</v>
      </c>
    </row>
    <row r="60" spans="1:4" x14ac:dyDescent="0.2">
      <c r="B60" s="3" t="s">
        <v>67</v>
      </c>
      <c r="C60" s="4">
        <v>5000</v>
      </c>
      <c r="D60" s="4"/>
    </row>
    <row r="61" spans="1:4" x14ac:dyDescent="0.2">
      <c r="B61" s="3" t="s">
        <v>68</v>
      </c>
      <c r="C61" s="4">
        <v>2000</v>
      </c>
      <c r="D61" s="4"/>
    </row>
    <row r="62" spans="1:4" x14ac:dyDescent="0.2">
      <c r="B62" s="3" t="s">
        <v>149</v>
      </c>
      <c r="C62" s="4">
        <v>20000</v>
      </c>
      <c r="D62" s="4"/>
    </row>
    <row r="63" spans="1:4" x14ac:dyDescent="0.2">
      <c r="B63" s="3" t="s">
        <v>69</v>
      </c>
      <c r="C63" s="4">
        <v>20000</v>
      </c>
      <c r="D63" s="4"/>
    </row>
    <row r="64" spans="1:4" x14ac:dyDescent="0.2">
      <c r="B64" s="3" t="s">
        <v>70</v>
      </c>
      <c r="C64" s="4">
        <f>120000*1.25</f>
        <v>150000</v>
      </c>
      <c r="D64" s="4"/>
    </row>
    <row r="65" spans="1:4" x14ac:dyDescent="0.2">
      <c r="B65" s="3" t="s">
        <v>71</v>
      </c>
      <c r="C65" s="4">
        <v>40000</v>
      </c>
      <c r="D65" s="4"/>
    </row>
    <row r="66" spans="1:4" x14ac:dyDescent="0.2">
      <c r="B66" s="3" t="s">
        <v>72</v>
      </c>
      <c r="C66" s="4">
        <v>5000</v>
      </c>
    </row>
    <row r="69" spans="1:4" x14ac:dyDescent="0.2">
      <c r="A69" s="6">
        <v>4292</v>
      </c>
      <c r="B69" s="6" t="s">
        <v>80</v>
      </c>
      <c r="C69" s="5">
        <v>260000</v>
      </c>
      <c r="D69" s="4">
        <f>SUM(C70:C72)</f>
        <v>259000</v>
      </c>
    </row>
    <row r="70" spans="1:4" x14ac:dyDescent="0.2">
      <c r="B70" s="3" t="s">
        <v>81</v>
      </c>
      <c r="C70" s="4">
        <v>3000</v>
      </c>
    </row>
    <row r="71" spans="1:4" x14ac:dyDescent="0.2">
      <c r="B71" s="3" t="s">
        <v>82</v>
      </c>
      <c r="C71" s="4">
        <v>20000</v>
      </c>
    </row>
    <row r="72" spans="1:4" x14ac:dyDescent="0.2">
      <c r="B72" s="3" t="s">
        <v>83</v>
      </c>
      <c r="C72" s="4">
        <v>236000</v>
      </c>
    </row>
    <row r="73" spans="1:4" x14ac:dyDescent="0.2">
      <c r="C73" s="4"/>
    </row>
    <row r="74" spans="1:4" x14ac:dyDescent="0.2">
      <c r="C74" s="4"/>
    </row>
    <row r="75" spans="1:4" x14ac:dyDescent="0.2">
      <c r="A75" s="6">
        <v>4311</v>
      </c>
      <c r="B75" s="6" t="s">
        <v>120</v>
      </c>
      <c r="C75" s="5">
        <f>+C79+C81</f>
        <v>56469125.101000004</v>
      </c>
    </row>
    <row r="76" spans="1:4" x14ac:dyDescent="0.2">
      <c r="A76" s="20" t="s">
        <v>143</v>
      </c>
      <c r="B76" s="3" t="s">
        <v>147</v>
      </c>
      <c r="C76" s="4">
        <f>1397776811.25-343000+400000*7.7</f>
        <v>1400513811.25</v>
      </c>
    </row>
    <row r="77" spans="1:4" x14ac:dyDescent="0.2">
      <c r="A77" s="20" t="s">
        <v>144</v>
      </c>
      <c r="B77" s="3" t="s">
        <v>147</v>
      </c>
      <c r="C77" s="4">
        <v>3458510</v>
      </c>
    </row>
    <row r="78" spans="1:4" x14ac:dyDescent="0.2">
      <c r="C78" s="4">
        <f>+C77+C76</f>
        <v>1403972321.25</v>
      </c>
    </row>
    <row r="79" spans="1:4" x14ac:dyDescent="0.2">
      <c r="C79" s="4">
        <f>+C78/25</f>
        <v>56158892.850000001</v>
      </c>
    </row>
    <row r="80" spans="1:4" x14ac:dyDescent="0.2">
      <c r="A80" s="20" t="s">
        <v>145</v>
      </c>
      <c r="B80" s="3" t="s">
        <v>146</v>
      </c>
      <c r="C80" s="4">
        <f>5804645.02+400000</f>
        <v>6204645.0199999996</v>
      </c>
    </row>
    <row r="81" spans="3:3" x14ac:dyDescent="0.2">
      <c r="C81" s="3">
        <f>+C80/20</f>
        <v>310232.25099999999</v>
      </c>
    </row>
    <row r="82" spans="3:3" x14ac:dyDescent="0.2">
      <c r="C82" s="4">
        <f>+C81+C79</f>
        <v>56469125.101000004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6"/>
  <sheetViews>
    <sheetView workbookViewId="0">
      <selection activeCell="A4" sqref="A4:E8"/>
    </sheetView>
  </sheetViews>
  <sheetFormatPr defaultRowHeight="12.75" x14ac:dyDescent="0.2"/>
  <cols>
    <col min="1" max="1" width="2.5703125" style="23" bestFit="1" customWidth="1"/>
    <col min="2" max="2" width="31.140625" style="23" bestFit="1" customWidth="1"/>
    <col min="3" max="4" width="10.7109375" style="23" bestFit="1" customWidth="1"/>
    <col min="5" max="5" width="10.140625" style="23" bestFit="1" customWidth="1"/>
    <col min="6" max="16384" width="9.140625" style="23"/>
  </cols>
  <sheetData>
    <row r="4" spans="1:5" x14ac:dyDescent="0.2">
      <c r="A4" s="21"/>
      <c r="B4" s="21"/>
      <c r="C4" s="22" t="s">
        <v>139</v>
      </c>
      <c r="D4" s="22" t="s">
        <v>140</v>
      </c>
      <c r="E4" s="22" t="s">
        <v>141</v>
      </c>
    </row>
    <row r="5" spans="1:5" x14ac:dyDescent="0.2">
      <c r="A5" s="24">
        <v>1</v>
      </c>
      <c r="B5" s="24" t="s">
        <v>134</v>
      </c>
      <c r="C5" s="25">
        <v>76385365.849999994</v>
      </c>
      <c r="D5" s="25">
        <v>68381176.469999999</v>
      </c>
      <c r="E5" s="25">
        <v>23571428.579999998</v>
      </c>
    </row>
    <row r="6" spans="1:5" x14ac:dyDescent="0.2">
      <c r="A6" s="24">
        <f>+A5+1</f>
        <v>2</v>
      </c>
      <c r="B6" s="24" t="s">
        <v>135</v>
      </c>
      <c r="C6" s="25">
        <v>0</v>
      </c>
      <c r="D6" s="25">
        <v>2800000</v>
      </c>
      <c r="E6" s="25">
        <v>0</v>
      </c>
    </row>
    <row r="7" spans="1:5" x14ac:dyDescent="0.2">
      <c r="A7" s="26">
        <f t="shared" ref="A7:A10" si="0">+A6+1</f>
        <v>3</v>
      </c>
      <c r="B7" s="26" t="s">
        <v>136</v>
      </c>
      <c r="C7" s="27">
        <v>331707.32</v>
      </c>
      <c r="D7" s="27">
        <v>14117647.060000001</v>
      </c>
      <c r="E7" s="27">
        <v>23571428.579999998</v>
      </c>
    </row>
    <row r="8" spans="1:5" x14ac:dyDescent="0.2">
      <c r="A8" s="28">
        <f t="shared" si="0"/>
        <v>4</v>
      </c>
      <c r="B8" s="28" t="s">
        <v>150</v>
      </c>
      <c r="C8" s="29">
        <f>+C5+C6-C7</f>
        <v>76053658.530000001</v>
      </c>
      <c r="D8" s="29">
        <f>+D5+D6-D7</f>
        <v>57063529.409999996</v>
      </c>
      <c r="E8" s="29">
        <f>+E5+E6-E7</f>
        <v>0</v>
      </c>
    </row>
    <row r="9" spans="1:5" x14ac:dyDescent="0.2">
      <c r="A9" s="30">
        <f t="shared" si="0"/>
        <v>5</v>
      </c>
      <c r="B9" s="30" t="s">
        <v>137</v>
      </c>
      <c r="C9" s="31">
        <f>+C5-C8</f>
        <v>331707.31999999285</v>
      </c>
      <c r="D9" s="31">
        <f>+D5-D8</f>
        <v>11317647.060000002</v>
      </c>
      <c r="E9" s="31">
        <f>+E7</f>
        <v>23571428.579999998</v>
      </c>
    </row>
    <row r="10" spans="1:5" x14ac:dyDescent="0.2">
      <c r="A10" s="30">
        <f t="shared" si="0"/>
        <v>6</v>
      </c>
      <c r="B10" s="30" t="s">
        <v>138</v>
      </c>
      <c r="C10" s="32">
        <f>(1-C8/C5)*100</f>
        <v>0.43425506483973919</v>
      </c>
      <c r="D10" s="32">
        <f>+(1-D8/D5)*100</f>
        <v>16.550822381602703</v>
      </c>
      <c r="E10" s="31">
        <f>+E7/E5*100</f>
        <v>100</v>
      </c>
    </row>
    <row r="11" spans="1:5" x14ac:dyDescent="0.2">
      <c r="C11" s="33"/>
      <c r="D11" s="33"/>
      <c r="E11" s="33"/>
    </row>
    <row r="12" spans="1:5" x14ac:dyDescent="0.2">
      <c r="C12" s="33"/>
      <c r="D12" s="33"/>
      <c r="E12" s="33"/>
    </row>
    <row r="13" spans="1:5" x14ac:dyDescent="0.2">
      <c r="C13" s="33"/>
      <c r="D13" s="33"/>
      <c r="E13" s="33"/>
    </row>
    <row r="14" spans="1:5" x14ac:dyDescent="0.2">
      <c r="C14" s="33"/>
      <c r="D14" s="34"/>
      <c r="E14" s="33"/>
    </row>
    <row r="15" spans="1:5" x14ac:dyDescent="0.2">
      <c r="C15" s="33"/>
      <c r="D15" s="33"/>
      <c r="E15" s="33"/>
    </row>
    <row r="16" spans="1:5" x14ac:dyDescent="0.2">
      <c r="C16" s="33"/>
      <c r="D16" s="33"/>
      <c r="E16" s="3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abSelected="1" zoomScaleNormal="100" zoomScaleSheetLayoutView="90" workbookViewId="0">
      <selection activeCell="B73" sqref="B73"/>
    </sheetView>
  </sheetViews>
  <sheetFormatPr defaultRowHeight="12.75" x14ac:dyDescent="0.2"/>
  <cols>
    <col min="1" max="1" width="7.85546875" style="36" customWidth="1"/>
    <col min="2" max="2" width="58" style="36" customWidth="1"/>
    <col min="3" max="3" width="19" style="36" customWidth="1"/>
    <col min="4" max="5" width="9.140625" style="36"/>
    <col min="6" max="6" width="9.85546875" style="36" bestFit="1" customWidth="1"/>
    <col min="7" max="8" width="9.140625" style="36"/>
    <col min="9" max="9" width="10.85546875" style="36" bestFit="1" customWidth="1"/>
    <col min="10" max="13" width="9.140625" style="36"/>
    <col min="14" max="14" width="10.85546875" style="36" bestFit="1" customWidth="1"/>
    <col min="15" max="15" width="12.42578125" style="36" customWidth="1"/>
    <col min="16" max="16" width="12.42578125" style="36" bestFit="1" customWidth="1"/>
    <col min="17" max="17" width="9.140625" style="36"/>
    <col min="18" max="18" width="12.42578125" style="36" bestFit="1" customWidth="1"/>
    <col min="19" max="19" width="12.5703125" style="36" bestFit="1" customWidth="1"/>
    <col min="20" max="20" width="12.42578125" style="36" bestFit="1" customWidth="1"/>
    <col min="21" max="249" width="9.140625" style="36"/>
    <col min="250" max="250" width="7.5703125" style="36" customWidth="1"/>
    <col min="251" max="251" width="56.7109375" style="36" bestFit="1" customWidth="1"/>
    <col min="252" max="252" width="11.42578125" style="36" customWidth="1"/>
    <col min="253" max="253" width="11.28515625" style="36" bestFit="1" customWidth="1"/>
    <col min="254" max="505" width="9.140625" style="36"/>
    <col min="506" max="506" width="7.5703125" style="36" customWidth="1"/>
    <col min="507" max="507" width="56.7109375" style="36" bestFit="1" customWidth="1"/>
    <col min="508" max="508" width="11.42578125" style="36" customWidth="1"/>
    <col min="509" max="509" width="11.28515625" style="36" bestFit="1" customWidth="1"/>
    <col min="510" max="761" width="9.140625" style="36"/>
    <col min="762" max="762" width="7.5703125" style="36" customWidth="1"/>
    <col min="763" max="763" width="56.7109375" style="36" bestFit="1" customWidth="1"/>
    <col min="764" max="764" width="11.42578125" style="36" customWidth="1"/>
    <col min="765" max="765" width="11.28515625" style="36" bestFit="1" customWidth="1"/>
    <col min="766" max="1017" width="9.140625" style="36"/>
    <col min="1018" max="1018" width="7.5703125" style="36" customWidth="1"/>
    <col min="1019" max="1019" width="56.7109375" style="36" bestFit="1" customWidth="1"/>
    <col min="1020" max="1020" width="11.42578125" style="36" customWidth="1"/>
    <col min="1021" max="1021" width="11.28515625" style="36" bestFit="1" customWidth="1"/>
    <col min="1022" max="1273" width="9.140625" style="36"/>
    <col min="1274" max="1274" width="7.5703125" style="36" customWidth="1"/>
    <col min="1275" max="1275" width="56.7109375" style="36" bestFit="1" customWidth="1"/>
    <col min="1276" max="1276" width="11.42578125" style="36" customWidth="1"/>
    <col min="1277" max="1277" width="11.28515625" style="36" bestFit="1" customWidth="1"/>
    <col min="1278" max="1529" width="9.140625" style="36"/>
    <col min="1530" max="1530" width="7.5703125" style="36" customWidth="1"/>
    <col min="1531" max="1531" width="56.7109375" style="36" bestFit="1" customWidth="1"/>
    <col min="1532" max="1532" width="11.42578125" style="36" customWidth="1"/>
    <col min="1533" max="1533" width="11.28515625" style="36" bestFit="1" customWidth="1"/>
    <col min="1534" max="1785" width="9.140625" style="36"/>
    <col min="1786" max="1786" width="7.5703125" style="36" customWidth="1"/>
    <col min="1787" max="1787" width="56.7109375" style="36" bestFit="1" customWidth="1"/>
    <col min="1788" max="1788" width="11.42578125" style="36" customWidth="1"/>
    <col min="1789" max="1789" width="11.28515625" style="36" bestFit="1" customWidth="1"/>
    <col min="1790" max="2041" width="9.140625" style="36"/>
    <col min="2042" max="2042" width="7.5703125" style="36" customWidth="1"/>
    <col min="2043" max="2043" width="56.7109375" style="36" bestFit="1" customWidth="1"/>
    <col min="2044" max="2044" width="11.42578125" style="36" customWidth="1"/>
    <col min="2045" max="2045" width="11.28515625" style="36" bestFit="1" customWidth="1"/>
    <col min="2046" max="2297" width="9.140625" style="36"/>
    <col min="2298" max="2298" width="7.5703125" style="36" customWidth="1"/>
    <col min="2299" max="2299" width="56.7109375" style="36" bestFit="1" customWidth="1"/>
    <col min="2300" max="2300" width="11.42578125" style="36" customWidth="1"/>
    <col min="2301" max="2301" width="11.28515625" style="36" bestFit="1" customWidth="1"/>
    <col min="2302" max="2553" width="9.140625" style="36"/>
    <col min="2554" max="2554" width="7.5703125" style="36" customWidth="1"/>
    <col min="2555" max="2555" width="56.7109375" style="36" bestFit="1" customWidth="1"/>
    <col min="2556" max="2556" width="11.42578125" style="36" customWidth="1"/>
    <col min="2557" max="2557" width="11.28515625" style="36" bestFit="1" customWidth="1"/>
    <col min="2558" max="2809" width="9.140625" style="36"/>
    <col min="2810" max="2810" width="7.5703125" style="36" customWidth="1"/>
    <col min="2811" max="2811" width="56.7109375" style="36" bestFit="1" customWidth="1"/>
    <col min="2812" max="2812" width="11.42578125" style="36" customWidth="1"/>
    <col min="2813" max="2813" width="11.28515625" style="36" bestFit="1" customWidth="1"/>
    <col min="2814" max="3065" width="9.140625" style="36"/>
    <col min="3066" max="3066" width="7.5703125" style="36" customWidth="1"/>
    <col min="3067" max="3067" width="56.7109375" style="36" bestFit="1" customWidth="1"/>
    <col min="3068" max="3068" width="11.42578125" style="36" customWidth="1"/>
    <col min="3069" max="3069" width="11.28515625" style="36" bestFit="1" customWidth="1"/>
    <col min="3070" max="3321" width="9.140625" style="36"/>
    <col min="3322" max="3322" width="7.5703125" style="36" customWidth="1"/>
    <col min="3323" max="3323" width="56.7109375" style="36" bestFit="1" customWidth="1"/>
    <col min="3324" max="3324" width="11.42578125" style="36" customWidth="1"/>
    <col min="3325" max="3325" width="11.28515625" style="36" bestFit="1" customWidth="1"/>
    <col min="3326" max="3577" width="9.140625" style="36"/>
    <col min="3578" max="3578" width="7.5703125" style="36" customWidth="1"/>
    <col min="3579" max="3579" width="56.7109375" style="36" bestFit="1" customWidth="1"/>
    <col min="3580" max="3580" width="11.42578125" style="36" customWidth="1"/>
    <col min="3581" max="3581" width="11.28515625" style="36" bestFit="1" customWidth="1"/>
    <col min="3582" max="3833" width="9.140625" style="36"/>
    <col min="3834" max="3834" width="7.5703125" style="36" customWidth="1"/>
    <col min="3835" max="3835" width="56.7109375" style="36" bestFit="1" customWidth="1"/>
    <col min="3836" max="3836" width="11.42578125" style="36" customWidth="1"/>
    <col min="3837" max="3837" width="11.28515625" style="36" bestFit="1" customWidth="1"/>
    <col min="3838" max="4089" width="9.140625" style="36"/>
    <col min="4090" max="4090" width="7.5703125" style="36" customWidth="1"/>
    <col min="4091" max="4091" width="56.7109375" style="36" bestFit="1" customWidth="1"/>
    <col min="4092" max="4092" width="11.42578125" style="36" customWidth="1"/>
    <col min="4093" max="4093" width="11.28515625" style="36" bestFit="1" customWidth="1"/>
    <col min="4094" max="4345" width="9.140625" style="36"/>
    <col min="4346" max="4346" width="7.5703125" style="36" customWidth="1"/>
    <col min="4347" max="4347" width="56.7109375" style="36" bestFit="1" customWidth="1"/>
    <col min="4348" max="4348" width="11.42578125" style="36" customWidth="1"/>
    <col min="4349" max="4349" width="11.28515625" style="36" bestFit="1" customWidth="1"/>
    <col min="4350" max="4601" width="9.140625" style="36"/>
    <col min="4602" max="4602" width="7.5703125" style="36" customWidth="1"/>
    <col min="4603" max="4603" width="56.7109375" style="36" bestFit="1" customWidth="1"/>
    <col min="4604" max="4604" width="11.42578125" style="36" customWidth="1"/>
    <col min="4605" max="4605" width="11.28515625" style="36" bestFit="1" customWidth="1"/>
    <col min="4606" max="4857" width="9.140625" style="36"/>
    <col min="4858" max="4858" width="7.5703125" style="36" customWidth="1"/>
    <col min="4859" max="4859" width="56.7109375" style="36" bestFit="1" customWidth="1"/>
    <col min="4860" max="4860" width="11.42578125" style="36" customWidth="1"/>
    <col min="4861" max="4861" width="11.28515625" style="36" bestFit="1" customWidth="1"/>
    <col min="4862" max="5113" width="9.140625" style="36"/>
    <col min="5114" max="5114" width="7.5703125" style="36" customWidth="1"/>
    <col min="5115" max="5115" width="56.7109375" style="36" bestFit="1" customWidth="1"/>
    <col min="5116" max="5116" width="11.42578125" style="36" customWidth="1"/>
    <col min="5117" max="5117" width="11.28515625" style="36" bestFit="1" customWidth="1"/>
    <col min="5118" max="5369" width="9.140625" style="36"/>
    <col min="5370" max="5370" width="7.5703125" style="36" customWidth="1"/>
    <col min="5371" max="5371" width="56.7109375" style="36" bestFit="1" customWidth="1"/>
    <col min="5372" max="5372" width="11.42578125" style="36" customWidth="1"/>
    <col min="5373" max="5373" width="11.28515625" style="36" bestFit="1" customWidth="1"/>
    <col min="5374" max="5625" width="9.140625" style="36"/>
    <col min="5626" max="5626" width="7.5703125" style="36" customWidth="1"/>
    <col min="5627" max="5627" width="56.7109375" style="36" bestFit="1" customWidth="1"/>
    <col min="5628" max="5628" width="11.42578125" style="36" customWidth="1"/>
    <col min="5629" max="5629" width="11.28515625" style="36" bestFit="1" customWidth="1"/>
    <col min="5630" max="5881" width="9.140625" style="36"/>
    <col min="5882" max="5882" width="7.5703125" style="36" customWidth="1"/>
    <col min="5883" max="5883" width="56.7109375" style="36" bestFit="1" customWidth="1"/>
    <col min="5884" max="5884" width="11.42578125" style="36" customWidth="1"/>
    <col min="5885" max="5885" width="11.28515625" style="36" bestFit="1" customWidth="1"/>
    <col min="5886" max="6137" width="9.140625" style="36"/>
    <col min="6138" max="6138" width="7.5703125" style="36" customWidth="1"/>
    <col min="6139" max="6139" width="56.7109375" style="36" bestFit="1" customWidth="1"/>
    <col min="6140" max="6140" width="11.42578125" style="36" customWidth="1"/>
    <col min="6141" max="6141" width="11.28515625" style="36" bestFit="1" customWidth="1"/>
    <col min="6142" max="6393" width="9.140625" style="36"/>
    <col min="6394" max="6394" width="7.5703125" style="36" customWidth="1"/>
    <col min="6395" max="6395" width="56.7109375" style="36" bestFit="1" customWidth="1"/>
    <col min="6396" max="6396" width="11.42578125" style="36" customWidth="1"/>
    <col min="6397" max="6397" width="11.28515625" style="36" bestFit="1" customWidth="1"/>
    <col min="6398" max="6649" width="9.140625" style="36"/>
    <col min="6650" max="6650" width="7.5703125" style="36" customWidth="1"/>
    <col min="6651" max="6651" width="56.7109375" style="36" bestFit="1" customWidth="1"/>
    <col min="6652" max="6652" width="11.42578125" style="36" customWidth="1"/>
    <col min="6653" max="6653" width="11.28515625" style="36" bestFit="1" customWidth="1"/>
    <col min="6654" max="6905" width="9.140625" style="36"/>
    <col min="6906" max="6906" width="7.5703125" style="36" customWidth="1"/>
    <col min="6907" max="6907" width="56.7109375" style="36" bestFit="1" customWidth="1"/>
    <col min="6908" max="6908" width="11.42578125" style="36" customWidth="1"/>
    <col min="6909" max="6909" width="11.28515625" style="36" bestFit="1" customWidth="1"/>
    <col min="6910" max="7161" width="9.140625" style="36"/>
    <col min="7162" max="7162" width="7.5703125" style="36" customWidth="1"/>
    <col min="7163" max="7163" width="56.7109375" style="36" bestFit="1" customWidth="1"/>
    <col min="7164" max="7164" width="11.42578125" style="36" customWidth="1"/>
    <col min="7165" max="7165" width="11.28515625" style="36" bestFit="1" customWidth="1"/>
    <col min="7166" max="7417" width="9.140625" style="36"/>
    <col min="7418" max="7418" width="7.5703125" style="36" customWidth="1"/>
    <col min="7419" max="7419" width="56.7109375" style="36" bestFit="1" customWidth="1"/>
    <col min="7420" max="7420" width="11.42578125" style="36" customWidth="1"/>
    <col min="7421" max="7421" width="11.28515625" style="36" bestFit="1" customWidth="1"/>
    <col min="7422" max="7673" width="9.140625" style="36"/>
    <col min="7674" max="7674" width="7.5703125" style="36" customWidth="1"/>
    <col min="7675" max="7675" width="56.7109375" style="36" bestFit="1" customWidth="1"/>
    <col min="7676" max="7676" width="11.42578125" style="36" customWidth="1"/>
    <col min="7677" max="7677" width="11.28515625" style="36" bestFit="1" customWidth="1"/>
    <col min="7678" max="7929" width="9.140625" style="36"/>
    <col min="7930" max="7930" width="7.5703125" style="36" customWidth="1"/>
    <col min="7931" max="7931" width="56.7109375" style="36" bestFit="1" customWidth="1"/>
    <col min="7932" max="7932" width="11.42578125" style="36" customWidth="1"/>
    <col min="7933" max="7933" width="11.28515625" style="36" bestFit="1" customWidth="1"/>
    <col min="7934" max="8185" width="9.140625" style="36"/>
    <col min="8186" max="8186" width="7.5703125" style="36" customWidth="1"/>
    <col min="8187" max="8187" width="56.7109375" style="36" bestFit="1" customWidth="1"/>
    <col min="8188" max="8188" width="11.42578125" style="36" customWidth="1"/>
    <col min="8189" max="8189" width="11.28515625" style="36" bestFit="1" customWidth="1"/>
    <col min="8190" max="8441" width="9.140625" style="36"/>
    <col min="8442" max="8442" width="7.5703125" style="36" customWidth="1"/>
    <col min="8443" max="8443" width="56.7109375" style="36" bestFit="1" customWidth="1"/>
    <col min="8444" max="8444" width="11.42578125" style="36" customWidth="1"/>
    <col min="8445" max="8445" width="11.28515625" style="36" bestFit="1" customWidth="1"/>
    <col min="8446" max="8697" width="9.140625" style="36"/>
    <col min="8698" max="8698" width="7.5703125" style="36" customWidth="1"/>
    <col min="8699" max="8699" width="56.7109375" style="36" bestFit="1" customWidth="1"/>
    <col min="8700" max="8700" width="11.42578125" style="36" customWidth="1"/>
    <col min="8701" max="8701" width="11.28515625" style="36" bestFit="1" customWidth="1"/>
    <col min="8702" max="8953" width="9.140625" style="36"/>
    <col min="8954" max="8954" width="7.5703125" style="36" customWidth="1"/>
    <col min="8955" max="8955" width="56.7109375" style="36" bestFit="1" customWidth="1"/>
    <col min="8956" max="8956" width="11.42578125" style="36" customWidth="1"/>
    <col min="8957" max="8957" width="11.28515625" style="36" bestFit="1" customWidth="1"/>
    <col min="8958" max="9209" width="9.140625" style="36"/>
    <col min="9210" max="9210" width="7.5703125" style="36" customWidth="1"/>
    <col min="9211" max="9211" width="56.7109375" style="36" bestFit="1" customWidth="1"/>
    <col min="9212" max="9212" width="11.42578125" style="36" customWidth="1"/>
    <col min="9213" max="9213" width="11.28515625" style="36" bestFit="1" customWidth="1"/>
    <col min="9214" max="9465" width="9.140625" style="36"/>
    <col min="9466" max="9466" width="7.5703125" style="36" customWidth="1"/>
    <col min="9467" max="9467" width="56.7109375" style="36" bestFit="1" customWidth="1"/>
    <col min="9468" max="9468" width="11.42578125" style="36" customWidth="1"/>
    <col min="9469" max="9469" width="11.28515625" style="36" bestFit="1" customWidth="1"/>
    <col min="9470" max="9721" width="9.140625" style="36"/>
    <col min="9722" max="9722" width="7.5703125" style="36" customWidth="1"/>
    <col min="9723" max="9723" width="56.7109375" style="36" bestFit="1" customWidth="1"/>
    <col min="9724" max="9724" width="11.42578125" style="36" customWidth="1"/>
    <col min="9725" max="9725" width="11.28515625" style="36" bestFit="1" customWidth="1"/>
    <col min="9726" max="9977" width="9.140625" style="36"/>
    <col min="9978" max="9978" width="7.5703125" style="36" customWidth="1"/>
    <col min="9979" max="9979" width="56.7109375" style="36" bestFit="1" customWidth="1"/>
    <col min="9980" max="9980" width="11.42578125" style="36" customWidth="1"/>
    <col min="9981" max="9981" width="11.28515625" style="36" bestFit="1" customWidth="1"/>
    <col min="9982" max="10233" width="9.140625" style="36"/>
    <col min="10234" max="10234" width="7.5703125" style="36" customWidth="1"/>
    <col min="10235" max="10235" width="56.7109375" style="36" bestFit="1" customWidth="1"/>
    <col min="10236" max="10236" width="11.42578125" style="36" customWidth="1"/>
    <col min="10237" max="10237" width="11.28515625" style="36" bestFit="1" customWidth="1"/>
    <col min="10238" max="10489" width="9.140625" style="36"/>
    <col min="10490" max="10490" width="7.5703125" style="36" customWidth="1"/>
    <col min="10491" max="10491" width="56.7109375" style="36" bestFit="1" customWidth="1"/>
    <col min="10492" max="10492" width="11.42578125" style="36" customWidth="1"/>
    <col min="10493" max="10493" width="11.28515625" style="36" bestFit="1" customWidth="1"/>
    <col min="10494" max="10745" width="9.140625" style="36"/>
    <col min="10746" max="10746" width="7.5703125" style="36" customWidth="1"/>
    <col min="10747" max="10747" width="56.7109375" style="36" bestFit="1" customWidth="1"/>
    <col min="10748" max="10748" width="11.42578125" style="36" customWidth="1"/>
    <col min="10749" max="10749" width="11.28515625" style="36" bestFit="1" customWidth="1"/>
    <col min="10750" max="11001" width="9.140625" style="36"/>
    <col min="11002" max="11002" width="7.5703125" style="36" customWidth="1"/>
    <col min="11003" max="11003" width="56.7109375" style="36" bestFit="1" customWidth="1"/>
    <col min="11004" max="11004" width="11.42578125" style="36" customWidth="1"/>
    <col min="11005" max="11005" width="11.28515625" style="36" bestFit="1" customWidth="1"/>
    <col min="11006" max="11257" width="9.140625" style="36"/>
    <col min="11258" max="11258" width="7.5703125" style="36" customWidth="1"/>
    <col min="11259" max="11259" width="56.7109375" style="36" bestFit="1" customWidth="1"/>
    <col min="11260" max="11260" width="11.42578125" style="36" customWidth="1"/>
    <col min="11261" max="11261" width="11.28515625" style="36" bestFit="1" customWidth="1"/>
    <col min="11262" max="11513" width="9.140625" style="36"/>
    <col min="11514" max="11514" width="7.5703125" style="36" customWidth="1"/>
    <col min="11515" max="11515" width="56.7109375" style="36" bestFit="1" customWidth="1"/>
    <col min="11516" max="11516" width="11.42578125" style="36" customWidth="1"/>
    <col min="11517" max="11517" width="11.28515625" style="36" bestFit="1" customWidth="1"/>
    <col min="11518" max="11769" width="9.140625" style="36"/>
    <col min="11770" max="11770" width="7.5703125" style="36" customWidth="1"/>
    <col min="11771" max="11771" width="56.7109375" style="36" bestFit="1" customWidth="1"/>
    <col min="11772" max="11772" width="11.42578125" style="36" customWidth="1"/>
    <col min="11773" max="11773" width="11.28515625" style="36" bestFit="1" customWidth="1"/>
    <col min="11774" max="12025" width="9.140625" style="36"/>
    <col min="12026" max="12026" width="7.5703125" style="36" customWidth="1"/>
    <col min="12027" max="12027" width="56.7109375" style="36" bestFit="1" customWidth="1"/>
    <col min="12028" max="12028" width="11.42578125" style="36" customWidth="1"/>
    <col min="12029" max="12029" width="11.28515625" style="36" bestFit="1" customWidth="1"/>
    <col min="12030" max="12281" width="9.140625" style="36"/>
    <col min="12282" max="12282" width="7.5703125" style="36" customWidth="1"/>
    <col min="12283" max="12283" width="56.7109375" style="36" bestFit="1" customWidth="1"/>
    <col min="12284" max="12284" width="11.42578125" style="36" customWidth="1"/>
    <col min="12285" max="12285" width="11.28515625" style="36" bestFit="1" customWidth="1"/>
    <col min="12286" max="12537" width="9.140625" style="36"/>
    <col min="12538" max="12538" width="7.5703125" style="36" customWidth="1"/>
    <col min="12539" max="12539" width="56.7109375" style="36" bestFit="1" customWidth="1"/>
    <col min="12540" max="12540" width="11.42578125" style="36" customWidth="1"/>
    <col min="12541" max="12541" width="11.28515625" style="36" bestFit="1" customWidth="1"/>
    <col min="12542" max="12793" width="9.140625" style="36"/>
    <col min="12794" max="12794" width="7.5703125" style="36" customWidth="1"/>
    <col min="12795" max="12795" width="56.7109375" style="36" bestFit="1" customWidth="1"/>
    <col min="12796" max="12796" width="11.42578125" style="36" customWidth="1"/>
    <col min="12797" max="12797" width="11.28515625" style="36" bestFit="1" customWidth="1"/>
    <col min="12798" max="13049" width="9.140625" style="36"/>
    <col min="13050" max="13050" width="7.5703125" style="36" customWidth="1"/>
    <col min="13051" max="13051" width="56.7109375" style="36" bestFit="1" customWidth="1"/>
    <col min="13052" max="13052" width="11.42578125" style="36" customWidth="1"/>
    <col min="13053" max="13053" width="11.28515625" style="36" bestFit="1" customWidth="1"/>
    <col min="13054" max="13305" width="9.140625" style="36"/>
    <col min="13306" max="13306" width="7.5703125" style="36" customWidth="1"/>
    <col min="13307" max="13307" width="56.7109375" style="36" bestFit="1" customWidth="1"/>
    <col min="13308" max="13308" width="11.42578125" style="36" customWidth="1"/>
    <col min="13309" max="13309" width="11.28515625" style="36" bestFit="1" customWidth="1"/>
    <col min="13310" max="13561" width="9.140625" style="36"/>
    <col min="13562" max="13562" width="7.5703125" style="36" customWidth="1"/>
    <col min="13563" max="13563" width="56.7109375" style="36" bestFit="1" customWidth="1"/>
    <col min="13564" max="13564" width="11.42578125" style="36" customWidth="1"/>
    <col min="13565" max="13565" width="11.28515625" style="36" bestFit="1" customWidth="1"/>
    <col min="13566" max="13817" width="9.140625" style="36"/>
    <col min="13818" max="13818" width="7.5703125" style="36" customWidth="1"/>
    <col min="13819" max="13819" width="56.7109375" style="36" bestFit="1" customWidth="1"/>
    <col min="13820" max="13820" width="11.42578125" style="36" customWidth="1"/>
    <col min="13821" max="13821" width="11.28515625" style="36" bestFit="1" customWidth="1"/>
    <col min="13822" max="14073" width="9.140625" style="36"/>
    <col min="14074" max="14074" width="7.5703125" style="36" customWidth="1"/>
    <col min="14075" max="14075" width="56.7109375" style="36" bestFit="1" customWidth="1"/>
    <col min="14076" max="14076" width="11.42578125" style="36" customWidth="1"/>
    <col min="14077" max="14077" width="11.28515625" style="36" bestFit="1" customWidth="1"/>
    <col min="14078" max="14329" width="9.140625" style="36"/>
    <col min="14330" max="14330" width="7.5703125" style="36" customWidth="1"/>
    <col min="14331" max="14331" width="56.7109375" style="36" bestFit="1" customWidth="1"/>
    <col min="14332" max="14332" width="11.42578125" style="36" customWidth="1"/>
    <col min="14333" max="14333" width="11.28515625" style="36" bestFit="1" customWidth="1"/>
    <col min="14334" max="14585" width="9.140625" style="36"/>
    <col min="14586" max="14586" width="7.5703125" style="36" customWidth="1"/>
    <col min="14587" max="14587" width="56.7109375" style="36" bestFit="1" customWidth="1"/>
    <col min="14588" max="14588" width="11.42578125" style="36" customWidth="1"/>
    <col min="14589" max="14589" width="11.28515625" style="36" bestFit="1" customWidth="1"/>
    <col min="14590" max="14841" width="9.140625" style="36"/>
    <col min="14842" max="14842" width="7.5703125" style="36" customWidth="1"/>
    <col min="14843" max="14843" width="56.7109375" style="36" bestFit="1" customWidth="1"/>
    <col min="14844" max="14844" width="11.42578125" style="36" customWidth="1"/>
    <col min="14845" max="14845" width="11.28515625" style="36" bestFit="1" customWidth="1"/>
    <col min="14846" max="15097" width="9.140625" style="36"/>
    <col min="15098" max="15098" width="7.5703125" style="36" customWidth="1"/>
    <col min="15099" max="15099" width="56.7109375" style="36" bestFit="1" customWidth="1"/>
    <col min="15100" max="15100" width="11.42578125" style="36" customWidth="1"/>
    <col min="15101" max="15101" width="11.28515625" style="36" bestFit="1" customWidth="1"/>
    <col min="15102" max="15353" width="9.140625" style="36"/>
    <col min="15354" max="15354" width="7.5703125" style="36" customWidth="1"/>
    <col min="15355" max="15355" width="56.7109375" style="36" bestFit="1" customWidth="1"/>
    <col min="15356" max="15356" width="11.42578125" style="36" customWidth="1"/>
    <col min="15357" max="15357" width="11.28515625" style="36" bestFit="1" customWidth="1"/>
    <col min="15358" max="15609" width="9.140625" style="36"/>
    <col min="15610" max="15610" width="7.5703125" style="36" customWidth="1"/>
    <col min="15611" max="15611" width="56.7109375" style="36" bestFit="1" customWidth="1"/>
    <col min="15612" max="15612" width="11.42578125" style="36" customWidth="1"/>
    <col min="15613" max="15613" width="11.28515625" style="36" bestFit="1" customWidth="1"/>
    <col min="15614" max="15865" width="9.140625" style="36"/>
    <col min="15866" max="15866" width="7.5703125" style="36" customWidth="1"/>
    <col min="15867" max="15867" width="56.7109375" style="36" bestFit="1" customWidth="1"/>
    <col min="15868" max="15868" width="11.42578125" style="36" customWidth="1"/>
    <col min="15869" max="15869" width="11.28515625" style="36" bestFit="1" customWidth="1"/>
    <col min="15870" max="16121" width="9.140625" style="36"/>
    <col min="16122" max="16122" width="7.5703125" style="36" customWidth="1"/>
    <col min="16123" max="16123" width="56.7109375" style="36" bestFit="1" customWidth="1"/>
    <col min="16124" max="16124" width="11.42578125" style="36" customWidth="1"/>
    <col min="16125" max="16125" width="11.28515625" style="36" bestFit="1" customWidth="1"/>
    <col min="16126" max="16384" width="9.140625" style="36"/>
  </cols>
  <sheetData>
    <row r="1" spans="1:20" ht="15" x14ac:dyDescent="0.25">
      <c r="A1" s="35" t="s">
        <v>85</v>
      </c>
    </row>
    <row r="2" spans="1:20" ht="15" x14ac:dyDescent="0.25">
      <c r="A2" s="35" t="s">
        <v>157</v>
      </c>
    </row>
    <row r="3" spans="1:20" ht="15" x14ac:dyDescent="0.25">
      <c r="A3" s="35" t="s">
        <v>86</v>
      </c>
    </row>
    <row r="7" spans="1:20" s="37" customFormat="1" ht="20.25" customHeight="1" x14ac:dyDescent="0.25">
      <c r="A7" s="75" t="s">
        <v>158</v>
      </c>
      <c r="B7" s="75"/>
      <c r="C7" s="75"/>
    </row>
    <row r="8" spans="1:20" s="37" customFormat="1" ht="20.25" customHeight="1" x14ac:dyDescent="0.25">
      <c r="A8" s="38"/>
      <c r="B8" s="38"/>
    </row>
    <row r="11" spans="1:20" s="35" customFormat="1" ht="27.95" customHeight="1" x14ac:dyDescent="0.25">
      <c r="A11" s="39" t="s">
        <v>87</v>
      </c>
      <c r="B11" s="40" t="s">
        <v>88</v>
      </c>
      <c r="C11" s="41" t="s">
        <v>159</v>
      </c>
      <c r="O11" s="42"/>
      <c r="P11" s="42"/>
    </row>
    <row r="12" spans="1:20" ht="19.5" customHeight="1" x14ac:dyDescent="0.2">
      <c r="A12" s="43">
        <v>3112</v>
      </c>
      <c r="B12" s="43" t="s">
        <v>89</v>
      </c>
      <c r="C12" s="44">
        <v>10100000</v>
      </c>
      <c r="D12" s="45"/>
      <c r="M12" s="42"/>
      <c r="N12" s="42"/>
      <c r="O12" s="42"/>
      <c r="P12" s="42"/>
      <c r="R12" s="42"/>
      <c r="S12" s="42"/>
      <c r="T12" s="46"/>
    </row>
    <row r="13" spans="1:20" ht="19.5" customHeight="1" x14ac:dyDescent="0.2">
      <c r="A13" s="43">
        <v>31120</v>
      </c>
      <c r="B13" s="43" t="s">
        <v>90</v>
      </c>
      <c r="C13" s="44">
        <v>8080000</v>
      </c>
      <c r="M13" s="42"/>
      <c r="N13" s="47"/>
      <c r="O13" s="47"/>
      <c r="P13" s="47"/>
      <c r="R13" s="48"/>
      <c r="S13" s="48"/>
      <c r="T13" s="48"/>
    </row>
    <row r="14" spans="1:20" ht="19.5" customHeight="1" x14ac:dyDescent="0.2">
      <c r="A14" s="43">
        <v>31121</v>
      </c>
      <c r="B14" s="43" t="s">
        <v>91</v>
      </c>
      <c r="C14" s="44">
        <v>15000</v>
      </c>
      <c r="M14" s="42"/>
      <c r="N14" s="47"/>
      <c r="O14" s="47"/>
      <c r="P14" s="47"/>
      <c r="R14" s="48"/>
      <c r="S14" s="48"/>
      <c r="T14" s="48"/>
    </row>
    <row r="15" spans="1:20" ht="19.5" customHeight="1" x14ac:dyDescent="0.2">
      <c r="A15" s="49">
        <v>31</v>
      </c>
      <c r="B15" s="49" t="s">
        <v>92</v>
      </c>
      <c r="C15" s="50">
        <f>C12+C13+C14</f>
        <v>18195000</v>
      </c>
      <c r="M15" s="42"/>
      <c r="N15" s="47"/>
      <c r="O15" s="47"/>
      <c r="P15" s="47"/>
      <c r="R15" s="48"/>
      <c r="S15" s="48"/>
    </row>
    <row r="16" spans="1:20" ht="19.5" customHeight="1" x14ac:dyDescent="0.2">
      <c r="A16" s="43">
        <v>3413</v>
      </c>
      <c r="B16" s="43" t="s">
        <v>93</v>
      </c>
      <c r="C16" s="44">
        <v>60000</v>
      </c>
      <c r="O16" s="42"/>
      <c r="P16" s="42"/>
    </row>
    <row r="17" spans="1:9" ht="19.5" customHeight="1" x14ac:dyDescent="0.2">
      <c r="A17" s="43">
        <v>3414</v>
      </c>
      <c r="B17" s="43" t="s">
        <v>152</v>
      </c>
      <c r="C17" s="44">
        <v>80000</v>
      </c>
      <c r="I17" s="51"/>
    </row>
    <row r="18" spans="1:9" ht="19.5" customHeight="1" x14ac:dyDescent="0.2">
      <c r="A18" s="43">
        <v>3415</v>
      </c>
      <c r="B18" s="43" t="s">
        <v>94</v>
      </c>
      <c r="C18" s="44">
        <v>20000</v>
      </c>
      <c r="I18" s="51"/>
    </row>
    <row r="19" spans="1:9" ht="19.5" customHeight="1" x14ac:dyDescent="0.2">
      <c r="A19" s="49">
        <v>341</v>
      </c>
      <c r="B19" s="49" t="s">
        <v>95</v>
      </c>
      <c r="C19" s="50">
        <f>C16+C17+C18</f>
        <v>160000</v>
      </c>
    </row>
    <row r="20" spans="1:9" ht="19.5" customHeight="1" x14ac:dyDescent="0.2">
      <c r="A20" s="43">
        <v>3511</v>
      </c>
      <c r="B20" s="43" t="s">
        <v>154</v>
      </c>
      <c r="C20" s="44">
        <v>20260000</v>
      </c>
    </row>
    <row r="21" spans="1:9" ht="17.25" hidden="1" customHeight="1" x14ac:dyDescent="0.2">
      <c r="A21" s="43">
        <v>3512</v>
      </c>
      <c r="B21" s="43" t="s">
        <v>96</v>
      </c>
      <c r="C21" s="44"/>
    </row>
    <row r="22" spans="1:9" ht="19.5" customHeight="1" x14ac:dyDescent="0.2">
      <c r="A22" s="43">
        <v>3511</v>
      </c>
      <c r="B22" s="43" t="s">
        <v>155</v>
      </c>
      <c r="C22" s="44">
        <v>50000000</v>
      </c>
      <c r="H22" s="52"/>
    </row>
    <row r="23" spans="1:9" ht="19.5" customHeight="1" x14ac:dyDescent="0.2">
      <c r="A23" s="49">
        <v>351</v>
      </c>
      <c r="B23" s="49" t="s">
        <v>97</v>
      </c>
      <c r="C23" s="50">
        <f>C20+C22</f>
        <v>70260000</v>
      </c>
    </row>
    <row r="24" spans="1:9" ht="19.5" customHeight="1" x14ac:dyDescent="0.2">
      <c r="A24" s="49">
        <v>355</v>
      </c>
      <c r="B24" s="49" t="s">
        <v>98</v>
      </c>
      <c r="C24" s="50">
        <v>350000</v>
      </c>
      <c r="H24" s="52"/>
    </row>
    <row r="25" spans="1:9" ht="19.5" customHeight="1" x14ac:dyDescent="0.2">
      <c r="A25" s="49">
        <v>361</v>
      </c>
      <c r="B25" s="49" t="s">
        <v>153</v>
      </c>
      <c r="C25" s="50">
        <v>200000</v>
      </c>
    </row>
    <row r="26" spans="1:9" ht="19.5" customHeight="1" x14ac:dyDescent="0.2">
      <c r="A26" s="49">
        <v>363</v>
      </c>
      <c r="B26" s="49" t="s">
        <v>99</v>
      </c>
      <c r="C26" s="50">
        <v>15000</v>
      </c>
    </row>
    <row r="27" spans="1:9" s="35" customFormat="1" ht="27.75" customHeight="1" x14ac:dyDescent="0.25">
      <c r="A27" s="40"/>
      <c r="B27" s="40" t="s">
        <v>100</v>
      </c>
      <c r="C27" s="53">
        <f>+C15+C19+C23+C24+C26+C25</f>
        <v>89180000</v>
      </c>
      <c r="F27" s="54"/>
    </row>
    <row r="28" spans="1:9" x14ac:dyDescent="0.2">
      <c r="A28" s="55"/>
      <c r="B28" s="55"/>
      <c r="C28" s="56"/>
    </row>
    <row r="29" spans="1:9" x14ac:dyDescent="0.2">
      <c r="A29" s="55"/>
      <c r="B29" s="55"/>
      <c r="C29" s="56"/>
    </row>
    <row r="30" spans="1:9" x14ac:dyDescent="0.2">
      <c r="A30" s="55"/>
      <c r="B30" s="55"/>
      <c r="C30" s="56"/>
    </row>
    <row r="31" spans="1:9" s="35" customFormat="1" ht="28.5" customHeight="1" x14ac:dyDescent="0.25">
      <c r="A31" s="39" t="s">
        <v>101</v>
      </c>
      <c r="B31" s="40" t="s">
        <v>102</v>
      </c>
      <c r="C31" s="41" t="s">
        <v>159</v>
      </c>
    </row>
    <row r="32" spans="1:9" ht="19.5" customHeight="1" x14ac:dyDescent="0.2">
      <c r="A32" s="57">
        <v>411</v>
      </c>
      <c r="B32" s="58" t="s">
        <v>103</v>
      </c>
      <c r="C32" s="59">
        <v>3340000</v>
      </c>
      <c r="E32" s="45"/>
    </row>
    <row r="33" spans="1:18" ht="19.5" customHeight="1" x14ac:dyDescent="0.2">
      <c r="A33" s="57">
        <v>412</v>
      </c>
      <c r="B33" s="58" t="s">
        <v>104</v>
      </c>
      <c r="C33" s="50">
        <v>190000</v>
      </c>
    </row>
    <row r="34" spans="1:18" ht="19.5" customHeight="1" x14ac:dyDescent="0.2">
      <c r="A34" s="57">
        <v>413</v>
      </c>
      <c r="B34" s="58" t="s">
        <v>105</v>
      </c>
      <c r="C34" s="50">
        <v>615000</v>
      </c>
    </row>
    <row r="35" spans="1:18" ht="19.5" customHeight="1" x14ac:dyDescent="0.2">
      <c r="A35" s="60">
        <v>4211</v>
      </c>
      <c r="B35" s="61" t="s">
        <v>106</v>
      </c>
      <c r="C35" s="44">
        <v>200000</v>
      </c>
    </row>
    <row r="36" spans="1:18" ht="19.5" customHeight="1" x14ac:dyDescent="0.2">
      <c r="A36" s="60">
        <v>4212</v>
      </c>
      <c r="B36" s="61" t="s">
        <v>107</v>
      </c>
      <c r="C36" s="44">
        <v>60000</v>
      </c>
    </row>
    <row r="37" spans="1:18" ht="19.5" customHeight="1" x14ac:dyDescent="0.2">
      <c r="A37" s="60">
        <v>4213</v>
      </c>
      <c r="B37" s="61" t="s">
        <v>108</v>
      </c>
      <c r="C37" s="44">
        <v>65000</v>
      </c>
    </row>
    <row r="38" spans="1:18" ht="19.5" customHeight="1" x14ac:dyDescent="0.2">
      <c r="A38" s="57">
        <v>421</v>
      </c>
      <c r="B38" s="58" t="s">
        <v>109</v>
      </c>
      <c r="C38" s="50">
        <f>SUM(C35:C37)</f>
        <v>325000</v>
      </c>
    </row>
    <row r="39" spans="1:18" ht="19.5" customHeight="1" x14ac:dyDescent="0.2">
      <c r="A39" s="57">
        <v>422</v>
      </c>
      <c r="B39" s="58" t="s">
        <v>110</v>
      </c>
      <c r="C39" s="50">
        <v>320000</v>
      </c>
    </row>
    <row r="40" spans="1:18" ht="19.5" customHeight="1" x14ac:dyDescent="0.2">
      <c r="A40" s="57">
        <v>424</v>
      </c>
      <c r="B40" s="58" t="s">
        <v>27</v>
      </c>
      <c r="C40" s="50">
        <v>45000</v>
      </c>
      <c r="D40" s="62"/>
      <c r="L40" s="52"/>
      <c r="M40" s="52"/>
      <c r="N40" s="52"/>
      <c r="O40" s="52"/>
      <c r="P40" s="52"/>
      <c r="Q40" s="52"/>
      <c r="R40" s="52"/>
    </row>
    <row r="41" spans="1:18" ht="19.5" customHeight="1" x14ac:dyDescent="0.2">
      <c r="A41" s="60">
        <v>4251</v>
      </c>
      <c r="B41" s="61" t="s">
        <v>28</v>
      </c>
      <c r="C41" s="44">
        <v>120000</v>
      </c>
      <c r="L41" s="52"/>
      <c r="M41" s="52"/>
      <c r="N41" s="52"/>
      <c r="O41" s="52"/>
      <c r="P41" s="63"/>
      <c r="Q41" s="52"/>
      <c r="R41" s="52"/>
    </row>
    <row r="42" spans="1:18" ht="19.5" customHeight="1" x14ac:dyDescent="0.2">
      <c r="A42" s="60">
        <v>4252</v>
      </c>
      <c r="B42" s="61" t="s">
        <v>34</v>
      </c>
      <c r="C42" s="44">
        <v>2620500</v>
      </c>
      <c r="L42" s="52"/>
      <c r="M42" s="52"/>
      <c r="N42" s="52"/>
      <c r="O42" s="52"/>
      <c r="P42" s="63"/>
      <c r="Q42" s="52"/>
      <c r="R42" s="52"/>
    </row>
    <row r="43" spans="1:18" ht="19.5" customHeight="1" x14ac:dyDescent="0.2">
      <c r="A43" s="60">
        <v>4253</v>
      </c>
      <c r="B43" s="61" t="s">
        <v>32</v>
      </c>
      <c r="C43" s="44">
        <v>255000</v>
      </c>
      <c r="L43" s="52"/>
      <c r="M43" s="52"/>
      <c r="N43" s="52"/>
      <c r="O43" s="52"/>
      <c r="P43" s="63"/>
      <c r="Q43" s="52"/>
      <c r="R43" s="52"/>
    </row>
    <row r="44" spans="1:18" ht="19.5" customHeight="1" x14ac:dyDescent="0.2">
      <c r="A44" s="60">
        <v>4254</v>
      </c>
      <c r="B44" s="61" t="s">
        <v>46</v>
      </c>
      <c r="C44" s="44">
        <v>900000</v>
      </c>
      <c r="L44" s="52"/>
      <c r="M44" s="52"/>
      <c r="N44" s="52"/>
      <c r="O44" s="52"/>
      <c r="P44" s="63"/>
      <c r="Q44" s="63"/>
      <c r="R44" s="63"/>
    </row>
    <row r="45" spans="1:18" ht="19.5" customHeight="1" x14ac:dyDescent="0.2">
      <c r="A45" s="60">
        <v>4255</v>
      </c>
      <c r="B45" s="61" t="s">
        <v>55</v>
      </c>
      <c r="C45" s="44">
        <v>30000</v>
      </c>
      <c r="L45" s="52"/>
      <c r="M45" s="52"/>
      <c r="N45" s="52"/>
      <c r="O45" s="52"/>
      <c r="P45" s="63"/>
      <c r="Q45" s="52"/>
      <c r="R45" s="52"/>
    </row>
    <row r="46" spans="1:18" ht="19.5" customHeight="1" x14ac:dyDescent="0.2">
      <c r="A46" s="60">
        <v>4256</v>
      </c>
      <c r="B46" s="61" t="s">
        <v>111</v>
      </c>
      <c r="C46" s="44">
        <v>40000</v>
      </c>
      <c r="G46" s="52"/>
      <c r="H46" s="52"/>
      <c r="L46" s="52"/>
      <c r="M46" s="52"/>
      <c r="N46" s="52"/>
      <c r="O46" s="52"/>
      <c r="P46" s="63"/>
      <c r="Q46" s="52"/>
      <c r="R46" s="52"/>
    </row>
    <row r="47" spans="1:18" ht="19.5" customHeight="1" x14ac:dyDescent="0.2">
      <c r="A47" s="60">
        <v>4257</v>
      </c>
      <c r="B47" s="61" t="s">
        <v>58</v>
      </c>
      <c r="C47" s="44">
        <v>1025000</v>
      </c>
      <c r="D47" s="64"/>
      <c r="G47" s="52"/>
      <c r="H47" s="52"/>
      <c r="L47" s="52"/>
      <c r="M47" s="52"/>
      <c r="N47" s="52"/>
      <c r="O47" s="52"/>
      <c r="P47" s="63"/>
      <c r="Q47" s="52"/>
      <c r="R47" s="52"/>
    </row>
    <row r="48" spans="1:18" ht="19.5" customHeight="1" x14ac:dyDescent="0.2">
      <c r="A48" s="60">
        <v>4258</v>
      </c>
      <c r="B48" s="61" t="s">
        <v>112</v>
      </c>
      <c r="C48" s="44">
        <v>55000</v>
      </c>
      <c r="G48" s="52"/>
      <c r="H48" s="52"/>
      <c r="L48" s="52"/>
      <c r="M48" s="52"/>
      <c r="N48" s="52"/>
      <c r="O48" s="52"/>
      <c r="P48" s="63"/>
      <c r="Q48" s="52"/>
      <c r="R48" s="52"/>
    </row>
    <row r="49" spans="1:18" ht="19.5" customHeight="1" x14ac:dyDescent="0.2">
      <c r="A49" s="60">
        <v>4259</v>
      </c>
      <c r="B49" s="61" t="s">
        <v>113</v>
      </c>
      <c r="C49" s="44">
        <v>32000</v>
      </c>
      <c r="G49" s="52"/>
      <c r="H49" s="52"/>
      <c r="L49" s="52"/>
      <c r="M49" s="52"/>
      <c r="N49" s="52"/>
      <c r="O49" s="52"/>
      <c r="P49" s="63"/>
      <c r="Q49" s="52"/>
      <c r="R49" s="52"/>
    </row>
    <row r="50" spans="1:18" ht="19.5" customHeight="1" x14ac:dyDescent="0.2">
      <c r="A50" s="57">
        <v>425</v>
      </c>
      <c r="B50" s="58" t="s">
        <v>114</v>
      </c>
      <c r="C50" s="50">
        <f>SUM(C41:C49)</f>
        <v>5077500</v>
      </c>
      <c r="L50" s="52"/>
      <c r="M50" s="52"/>
      <c r="N50" s="52"/>
      <c r="O50" s="52"/>
      <c r="P50" s="63"/>
      <c r="Q50" s="52"/>
      <c r="R50" s="52"/>
    </row>
    <row r="51" spans="1:18" ht="17.25" customHeight="1" x14ac:dyDescent="0.2">
      <c r="A51" s="57">
        <v>426</v>
      </c>
      <c r="B51" s="58" t="s">
        <v>79</v>
      </c>
      <c r="C51" s="50">
        <v>1050000</v>
      </c>
      <c r="L51" s="52"/>
      <c r="M51" s="52"/>
      <c r="N51" s="52"/>
      <c r="O51" s="52"/>
      <c r="P51" s="52"/>
      <c r="Q51" s="52"/>
      <c r="R51" s="52"/>
    </row>
    <row r="52" spans="1:18" ht="19.5" customHeight="1" x14ac:dyDescent="0.2">
      <c r="A52" s="60">
        <v>4291</v>
      </c>
      <c r="B52" s="61" t="s">
        <v>115</v>
      </c>
      <c r="C52" s="44">
        <f>15000+21000+6000</f>
        <v>42000</v>
      </c>
    </row>
    <row r="53" spans="1:18" ht="19.5" customHeight="1" x14ac:dyDescent="0.2">
      <c r="A53" s="60">
        <v>4292</v>
      </c>
      <c r="B53" s="61" t="s">
        <v>116</v>
      </c>
      <c r="C53" s="44">
        <v>80000</v>
      </c>
    </row>
    <row r="54" spans="1:18" ht="19.5" customHeight="1" x14ac:dyDescent="0.2">
      <c r="A54" s="60">
        <v>4293</v>
      </c>
      <c r="B54" s="61" t="s">
        <v>117</v>
      </c>
      <c r="C54" s="44">
        <v>80000</v>
      </c>
    </row>
    <row r="55" spans="1:18" ht="19.5" customHeight="1" x14ac:dyDescent="0.2">
      <c r="A55" s="65" t="s">
        <v>118</v>
      </c>
      <c r="B55" s="61" t="s">
        <v>119</v>
      </c>
      <c r="C55" s="44">
        <v>5000</v>
      </c>
    </row>
    <row r="56" spans="1:18" ht="19.5" customHeight="1" x14ac:dyDescent="0.2">
      <c r="A56" s="57">
        <v>429</v>
      </c>
      <c r="B56" s="58" t="s">
        <v>119</v>
      </c>
      <c r="C56" s="50">
        <f>SUM(C52:C55)</f>
        <v>207000</v>
      </c>
    </row>
    <row r="57" spans="1:18" ht="19.5" customHeight="1" x14ac:dyDescent="0.2">
      <c r="A57" s="60">
        <v>4311</v>
      </c>
      <c r="B57" s="61" t="s">
        <v>120</v>
      </c>
      <c r="C57" s="44">
        <v>300000</v>
      </c>
    </row>
    <row r="58" spans="1:18" ht="19.5" customHeight="1" x14ac:dyDescent="0.2">
      <c r="A58" s="60">
        <v>43110</v>
      </c>
      <c r="B58" s="61" t="s">
        <v>148</v>
      </c>
      <c r="C58" s="44">
        <v>50000000</v>
      </c>
    </row>
    <row r="59" spans="1:18" ht="19.5" hidden="1" customHeight="1" x14ac:dyDescent="0.2">
      <c r="A59" s="60">
        <v>43111</v>
      </c>
      <c r="B59" s="61" t="s">
        <v>156</v>
      </c>
      <c r="C59" s="44">
        <v>0</v>
      </c>
    </row>
    <row r="60" spans="1:18" ht="19.5" customHeight="1" x14ac:dyDescent="0.2">
      <c r="A60" s="57">
        <v>431</v>
      </c>
      <c r="B60" s="58" t="s">
        <v>121</v>
      </c>
      <c r="C60" s="50">
        <f>SUM(C57:C59)</f>
        <v>50300000</v>
      </c>
    </row>
    <row r="61" spans="1:18" ht="19.5" customHeight="1" x14ac:dyDescent="0.2">
      <c r="A61" s="60">
        <v>44211</v>
      </c>
      <c r="B61" s="61" t="s">
        <v>122</v>
      </c>
      <c r="C61" s="44">
        <v>1800000</v>
      </c>
    </row>
    <row r="62" spans="1:18" ht="19.5" customHeight="1" x14ac:dyDescent="0.2">
      <c r="A62" s="60">
        <v>44212</v>
      </c>
      <c r="B62" s="61" t="s">
        <v>123</v>
      </c>
      <c r="C62" s="44">
        <v>18300000</v>
      </c>
      <c r="F62" s="45"/>
    </row>
    <row r="63" spans="1:18" ht="20.25" customHeight="1" x14ac:dyDescent="0.2">
      <c r="A63" s="57">
        <v>442</v>
      </c>
      <c r="B63" s="58" t="s">
        <v>124</v>
      </c>
      <c r="C63" s="50">
        <f>SUM(C61:C62)</f>
        <v>20100000</v>
      </c>
    </row>
    <row r="64" spans="1:18" ht="19.5" customHeight="1" x14ac:dyDescent="0.2">
      <c r="A64" s="60">
        <v>4431</v>
      </c>
      <c r="B64" s="61" t="s">
        <v>125</v>
      </c>
      <c r="C64" s="44">
        <v>30000</v>
      </c>
    </row>
    <row r="65" spans="1:3" ht="19.5" customHeight="1" x14ac:dyDescent="0.2">
      <c r="A65" s="60">
        <v>4432</v>
      </c>
      <c r="B65" s="61" t="s">
        <v>126</v>
      </c>
      <c r="C65" s="44">
        <v>7400000</v>
      </c>
    </row>
    <row r="66" spans="1:3" ht="19.5" customHeight="1" x14ac:dyDescent="0.2">
      <c r="A66" s="60">
        <v>4430</v>
      </c>
      <c r="B66" s="61" t="s">
        <v>127</v>
      </c>
      <c r="C66" s="44">
        <v>160000</v>
      </c>
    </row>
    <row r="67" spans="1:3" ht="19.5" customHeight="1" x14ac:dyDescent="0.2">
      <c r="A67" s="57">
        <v>443</v>
      </c>
      <c r="B67" s="58" t="s">
        <v>128</v>
      </c>
      <c r="C67" s="50">
        <f>SUM(C64:C66)</f>
        <v>7590000</v>
      </c>
    </row>
    <row r="68" spans="1:3" ht="19.5" customHeight="1" x14ac:dyDescent="0.2">
      <c r="A68" s="57">
        <v>462</v>
      </c>
      <c r="B68" s="58" t="s">
        <v>129</v>
      </c>
      <c r="C68" s="66">
        <v>5000</v>
      </c>
    </row>
    <row r="69" spans="1:3" s="35" customFormat="1" ht="28.5" customHeight="1" x14ac:dyDescent="0.25">
      <c r="A69" s="67"/>
      <c r="B69" s="40" t="s">
        <v>130</v>
      </c>
      <c r="C69" s="53">
        <f>+C32+C33+C34+C38+C39+C40+C51+C50+C56+C60+C63+C67+C68</f>
        <v>89164500</v>
      </c>
    </row>
    <row r="70" spans="1:3" s="35" customFormat="1" ht="28.5" customHeight="1" x14ac:dyDescent="0.25">
      <c r="A70" s="68" t="s">
        <v>131</v>
      </c>
      <c r="B70" s="69" t="s">
        <v>132</v>
      </c>
      <c r="C70" s="70">
        <f>+C27-C69</f>
        <v>15500</v>
      </c>
    </row>
    <row r="71" spans="1:3" x14ac:dyDescent="0.2">
      <c r="A71" s="71"/>
      <c r="C71" s="72"/>
    </row>
    <row r="72" spans="1:3" x14ac:dyDescent="0.2">
      <c r="A72" s="71"/>
    </row>
    <row r="73" spans="1:3" x14ac:dyDescent="0.2">
      <c r="A73" s="73"/>
      <c r="B73" s="71"/>
    </row>
    <row r="74" spans="1:3" x14ac:dyDescent="0.2">
      <c r="A74" s="73"/>
      <c r="B74" s="74"/>
    </row>
    <row r="75" spans="1:3" x14ac:dyDescent="0.2">
      <c r="A75" s="73"/>
      <c r="B75" s="71"/>
    </row>
    <row r="76" spans="1:3" x14ac:dyDescent="0.2">
      <c r="A76" s="71"/>
      <c r="B76" s="71"/>
    </row>
    <row r="77" spans="1:3" x14ac:dyDescent="0.2">
      <c r="A77" s="71"/>
      <c r="B77" s="71"/>
    </row>
    <row r="78" spans="1:3" x14ac:dyDescent="0.2">
      <c r="A78" s="71"/>
      <c r="B78" s="71"/>
    </row>
    <row r="79" spans="1:3" x14ac:dyDescent="0.2">
      <c r="A79" s="71"/>
    </row>
    <row r="80" spans="1:3" x14ac:dyDescent="0.2">
      <c r="A80" s="71"/>
    </row>
    <row r="81" spans="1:1" x14ac:dyDescent="0.2">
      <c r="A81" s="71"/>
    </row>
    <row r="82" spans="1:1" x14ac:dyDescent="0.2">
      <c r="A82" s="71"/>
    </row>
    <row r="83" spans="1:1" x14ac:dyDescent="0.2">
      <c r="A83" s="71"/>
    </row>
    <row r="84" spans="1:1" x14ac:dyDescent="0.2">
      <c r="A84" s="71"/>
    </row>
    <row r="85" spans="1:1" x14ac:dyDescent="0.2">
      <c r="A85" s="71"/>
    </row>
    <row r="86" spans="1:1" x14ac:dyDescent="0.2">
      <c r="A86" s="71"/>
    </row>
    <row r="87" spans="1:1" x14ac:dyDescent="0.2">
      <c r="A87" s="71"/>
    </row>
    <row r="88" spans="1:1" x14ac:dyDescent="0.2">
      <c r="A88" s="71"/>
    </row>
    <row r="89" spans="1:1" x14ac:dyDescent="0.2">
      <c r="A89" s="71"/>
    </row>
    <row r="90" spans="1:1" x14ac:dyDescent="0.2">
      <c r="A90" s="71"/>
    </row>
    <row r="91" spans="1:1" x14ac:dyDescent="0.2">
      <c r="A91" s="71"/>
    </row>
    <row r="92" spans="1:1" x14ac:dyDescent="0.2">
      <c r="A92" s="71"/>
    </row>
    <row r="93" spans="1:1" x14ac:dyDescent="0.2">
      <c r="A93" s="71"/>
    </row>
    <row r="94" spans="1:1" x14ac:dyDescent="0.2">
      <c r="A94" s="71"/>
    </row>
  </sheetData>
  <mergeCells count="1">
    <mergeCell ref="A7:C7"/>
  </mergeCells>
  <pageMargins left="0.7" right="0.7" top="0.75" bottom="0.75" header="0.3" footer="0.3"/>
  <pageSetup paperSize="9" scale="90" orientation="portrait" r:id="rId1"/>
  <rowBreaks count="1" manualBreakCount="1">
    <brk id="29" max="3" man="1"/>
  </rowBreaks>
  <ignoredErrors>
    <ignoredError sqref="C50 C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Rashodi - Investicije</vt:lpstr>
      <vt:lpstr>Prihodi</vt:lpstr>
      <vt:lpstr>Rashodi po kontima</vt:lpstr>
      <vt:lpstr>Kreditna zaduženost</vt:lpstr>
      <vt:lpstr>FP 2019</vt:lpstr>
      <vt:lpstr>'FP 2019'!Print_Area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cp:lastPrinted>2019-03-18T09:51:21Z</cp:lastPrinted>
  <dcterms:created xsi:type="dcterms:W3CDTF">2015-01-14T11:28:01Z</dcterms:created>
  <dcterms:modified xsi:type="dcterms:W3CDTF">2020-08-20T09:30:07Z</dcterms:modified>
</cp:coreProperties>
</file>